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ylvi\Desktop\FACULTAD\2025-Sistemas de Costos y Presupuestos\practica para parcial de presupuestos\"/>
    </mc:Choice>
  </mc:AlternateContent>
  <xr:revisionPtr revIDLastSave="0" documentId="13_ncr:1_{84BB1F76-B906-482F-932B-358E8EB0B60C}" xr6:coauthVersionLast="47" xr6:coauthVersionMax="47" xr10:uidLastSave="{00000000-0000-0000-0000-000000000000}"/>
  <bookViews>
    <workbookView xWindow="-103" yWindow="-103" windowWidth="19406" windowHeight="11486" xr2:uid="{17CC0EE9-6DF0-4C95-A788-D1FE694F8DEF}"/>
  </bookViews>
  <sheets>
    <sheet name="Reso. general " sheetId="1" r:id="rId1"/>
    <sheet name="enunci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C81" i="1" s="1"/>
  <c r="K87" i="1"/>
  <c r="K86" i="1"/>
  <c r="G73" i="1"/>
  <c r="F73" i="1"/>
  <c r="E73" i="1"/>
  <c r="D73" i="1"/>
  <c r="C73" i="1"/>
  <c r="G72" i="1"/>
  <c r="F72" i="1"/>
  <c r="E72" i="1"/>
  <c r="D72" i="1"/>
  <c r="C72" i="1"/>
  <c r="B72" i="1"/>
  <c r="F71" i="1"/>
  <c r="E71" i="1"/>
  <c r="D71" i="1"/>
  <c r="C71" i="1"/>
  <c r="B71" i="1"/>
  <c r="H71" i="1"/>
  <c r="I68" i="1"/>
  <c r="F85" i="1"/>
  <c r="G68" i="1"/>
  <c r="F67" i="1"/>
  <c r="E66" i="1"/>
  <c r="D65" i="1"/>
  <c r="C64" i="1"/>
  <c r="I67" i="1"/>
  <c r="G66" i="1"/>
  <c r="F65" i="1"/>
  <c r="E64" i="1"/>
  <c r="C62" i="1"/>
  <c r="C88" i="1"/>
  <c r="I46" i="1"/>
  <c r="G45" i="1"/>
  <c r="F44" i="1"/>
  <c r="D42" i="1"/>
  <c r="C41" i="1"/>
  <c r="H53" i="1"/>
  <c r="H52" i="1"/>
  <c r="F84" i="1"/>
  <c r="F83" i="1"/>
  <c r="F82" i="1"/>
  <c r="E9" i="1"/>
  <c r="H9" i="1" s="1"/>
  <c r="D43" i="1"/>
  <c r="J80" i="1"/>
  <c r="L18" i="1"/>
  <c r="E16" i="1" s="1"/>
  <c r="G5" i="1"/>
  <c r="F5" i="1"/>
  <c r="E5" i="1"/>
  <c r="D5" i="1"/>
  <c r="C5" i="1"/>
  <c r="B5" i="1"/>
  <c r="I49" i="1"/>
  <c r="G49" i="1"/>
  <c r="F49" i="1"/>
  <c r="E49" i="1"/>
  <c r="D49" i="1"/>
  <c r="C14" i="1"/>
  <c r="G10" i="1"/>
  <c r="F10" i="1"/>
  <c r="E10" i="1"/>
  <c r="D10" i="1"/>
  <c r="C10" i="1"/>
  <c r="B10" i="1"/>
  <c r="N10" i="1"/>
  <c r="G13" i="1"/>
  <c r="F13" i="1"/>
  <c r="E13" i="1"/>
  <c r="D13" i="1"/>
  <c r="I58" i="1"/>
  <c r="G58" i="1"/>
  <c r="F58" i="1"/>
  <c r="G46" i="1"/>
  <c r="H46" i="1" s="1"/>
  <c r="F45" i="1"/>
  <c r="H45" i="1" s="1"/>
  <c r="E44" i="1"/>
  <c r="C42" i="1"/>
  <c r="B41" i="1"/>
  <c r="H41" i="1" s="1"/>
  <c r="B40" i="1"/>
  <c r="A40" i="1"/>
  <c r="A47" i="1"/>
  <c r="A46" i="1"/>
  <c r="A45" i="1"/>
  <c r="A44" i="1"/>
  <c r="A43" i="1"/>
  <c r="A42" i="1"/>
  <c r="A41" i="1"/>
  <c r="N50" i="1"/>
  <c r="N49" i="1"/>
  <c r="G8" i="1"/>
  <c r="I55" i="1" s="1"/>
  <c r="F8" i="1"/>
  <c r="G55" i="1" s="1"/>
  <c r="E8" i="1"/>
  <c r="F55" i="1" s="1"/>
  <c r="E57" i="1"/>
  <c r="N48" i="1"/>
  <c r="N47" i="1"/>
  <c r="N46" i="1"/>
  <c r="N45" i="1"/>
  <c r="N44" i="1"/>
  <c r="N43" i="1"/>
  <c r="N42" i="1"/>
  <c r="N41" i="1"/>
  <c r="N40" i="1"/>
  <c r="B61" i="1" s="1"/>
  <c r="N39" i="1"/>
  <c r="C86" i="1"/>
  <c r="G12" i="1"/>
  <c r="F12" i="1"/>
  <c r="E12" i="1"/>
  <c r="D12" i="1"/>
  <c r="C12" i="1"/>
  <c r="I56" i="1"/>
  <c r="B12" i="1"/>
  <c r="H12" i="1" s="1"/>
  <c r="H58" i="1"/>
  <c r="E55" i="1"/>
  <c r="D55" i="1"/>
  <c r="C55" i="1"/>
  <c r="H70" i="1"/>
  <c r="H69" i="1"/>
  <c r="H60" i="1"/>
  <c r="H57" i="1"/>
  <c r="H56" i="1"/>
  <c r="A68" i="1"/>
  <c r="A67" i="1"/>
  <c r="A66" i="1"/>
  <c r="A65" i="1"/>
  <c r="A64" i="1"/>
  <c r="A63" i="1"/>
  <c r="A62" i="1"/>
  <c r="A61" i="1"/>
  <c r="H51" i="1"/>
  <c r="H50" i="1"/>
  <c r="H48" i="1"/>
  <c r="H47" i="1"/>
  <c r="H39" i="1"/>
  <c r="H38" i="1"/>
  <c r="H44" i="1"/>
  <c r="J5" i="1"/>
  <c r="H17" i="1"/>
  <c r="H15" i="1"/>
  <c r="B6" i="1" l="1"/>
  <c r="H5" i="1"/>
  <c r="N11" i="1"/>
  <c r="C83" i="1"/>
  <c r="H13" i="1"/>
  <c r="C90" i="1" s="1"/>
  <c r="H43" i="1"/>
  <c r="H42" i="1"/>
  <c r="H10" i="1"/>
  <c r="D53" i="1"/>
  <c r="C82" i="1"/>
  <c r="H68" i="1"/>
  <c r="H16" i="1"/>
  <c r="H18" i="1" s="1"/>
  <c r="H64" i="1"/>
  <c r="D63" i="1"/>
  <c r="H63" i="1" s="1"/>
  <c r="B63" i="1"/>
  <c r="C53" i="1"/>
  <c r="N4" i="1"/>
  <c r="N5" i="1" s="1"/>
  <c r="C11" i="1"/>
  <c r="B11" i="1"/>
  <c r="H55" i="1"/>
  <c r="B53" i="1"/>
  <c r="H40" i="1"/>
  <c r="H67" i="1"/>
  <c r="H61" i="1"/>
  <c r="F6" i="1"/>
  <c r="F7" i="1" s="1"/>
  <c r="F18" i="1" s="1"/>
  <c r="D6" i="1"/>
  <c r="D7" i="1" s="1"/>
  <c r="G6" i="1"/>
  <c r="G7" i="1" s="1"/>
  <c r="G18" i="1" s="1"/>
  <c r="E6" i="1"/>
  <c r="E7" i="1" s="1"/>
  <c r="E18" i="1" s="1"/>
  <c r="C6" i="1"/>
  <c r="C7" i="1" s="1"/>
  <c r="C18" i="1" s="1"/>
  <c r="H8" i="1"/>
  <c r="H6" i="1" l="1"/>
  <c r="H7" i="1" s="1"/>
  <c r="B7" i="1"/>
  <c r="B18" i="1" s="1"/>
  <c r="C84" i="1"/>
  <c r="H11" i="1"/>
  <c r="N12" i="1" s="1"/>
  <c r="N13" i="1" s="1"/>
  <c r="N14" i="1" s="1"/>
  <c r="G71" i="1"/>
  <c r="H66" i="1"/>
  <c r="J81" i="1"/>
  <c r="B73" i="1"/>
  <c r="H62" i="1"/>
  <c r="H65" i="1"/>
  <c r="N15" i="1" l="1"/>
  <c r="H49" i="1" l="1"/>
  <c r="F53" i="1"/>
  <c r="H14" i="1"/>
  <c r="F92" i="1" s="1"/>
  <c r="F94" i="1" s="1"/>
  <c r="D18" i="1"/>
  <c r="E53" i="1"/>
  <c r="G53" i="1"/>
  <c r="H72" i="1" l="1"/>
  <c r="C80" i="1" s="1"/>
  <c r="C94" i="1" s="1"/>
  <c r="F97" i="1" s="1"/>
</calcChain>
</file>

<file path=xl/sharedStrings.xml><?xml version="1.0" encoding="utf-8"?>
<sst xmlns="http://schemas.openxmlformats.org/spreadsheetml/2006/main" count="152" uniqueCount="98">
  <si>
    <t>Total Pasivo+PN</t>
  </si>
  <si>
    <t>Total Activo</t>
  </si>
  <si>
    <t>PN</t>
  </si>
  <si>
    <t>PASIVO</t>
  </si>
  <si>
    <t>PASIVO + PN</t>
  </si>
  <si>
    <t>ACTIVO</t>
  </si>
  <si>
    <t>BALANCE PROYECTADO</t>
  </si>
  <si>
    <t>Financiacion  ?</t>
  </si>
  <si>
    <t>X + 3</t>
  </si>
  <si>
    <t>X+2</t>
  </si>
  <si>
    <t>X+1</t>
  </si>
  <si>
    <t>X</t>
  </si>
  <si>
    <t>X-1</t>
  </si>
  <si>
    <t>X-2</t>
  </si>
  <si>
    <t>CONCEPTO</t>
  </si>
  <si>
    <t>PRESUPUESTO ECONÓMICO</t>
  </si>
  <si>
    <t>Presupuesto VENTAS</t>
  </si>
  <si>
    <t>Presupuesto COSTO DE VENTAS</t>
  </si>
  <si>
    <t>enero</t>
  </si>
  <si>
    <t>febrero</t>
  </si>
  <si>
    <t>marzo</t>
  </si>
  <si>
    <t>abril</t>
  </si>
  <si>
    <t>mayo</t>
  </si>
  <si>
    <t>junio</t>
  </si>
  <si>
    <t>totales</t>
  </si>
  <si>
    <t>CONTRIBUCIÓN MARGINAL</t>
  </si>
  <si>
    <t>CONTR MARG</t>
  </si>
  <si>
    <t>VENTAS</t>
  </si>
  <si>
    <t>MESES</t>
  </si>
  <si>
    <t>PRESUPUESTO FINANCIERO</t>
  </si>
  <si>
    <t>CAJA</t>
  </si>
  <si>
    <t>julio</t>
  </si>
  <si>
    <t>agosto</t>
  </si>
  <si>
    <t>septiembre</t>
  </si>
  <si>
    <t>noviembre</t>
  </si>
  <si>
    <t>diciembre</t>
  </si>
  <si>
    <t>octubre</t>
  </si>
  <si>
    <t>COMPRAS</t>
  </si>
  <si>
    <t>DIFERIDO</t>
  </si>
  <si>
    <t>TOTAL INGRESOS</t>
  </si>
  <si>
    <t>INGRESO MERC</t>
  </si>
  <si>
    <t>MIXTA</t>
  </si>
  <si>
    <t>Gastos fijos</t>
  </si>
  <si>
    <t>Horas extras</t>
  </si>
  <si>
    <t>TOTAL EGRESOS</t>
  </si>
  <si>
    <t>DIFERENCIA</t>
  </si>
  <si>
    <t>DIFERENCIA ACUMULADA</t>
  </si>
  <si>
    <t>pago de deudas pendientes</t>
  </si>
  <si>
    <t>préstamo para pagar deudas anteriores</t>
  </si>
  <si>
    <t>intereses por préstamo para pagar deudas anteriores</t>
  </si>
  <si>
    <t>pago cuota préstamo para saldar deudas pendientes</t>
  </si>
  <si>
    <t>amortización maquinarias que no se venden</t>
  </si>
  <si>
    <t>amortización maquinarias que se venden</t>
  </si>
  <si>
    <t>amortización inmueble</t>
  </si>
  <si>
    <t>amortización mobiliario nuevo</t>
  </si>
  <si>
    <t>maquinarias</t>
  </si>
  <si>
    <t>amort acum maq</t>
  </si>
  <si>
    <t>amort acum maq a vender</t>
  </si>
  <si>
    <t>amort maq a vender este ciclo</t>
  </si>
  <si>
    <t>valor residual</t>
  </si>
  <si>
    <t>ganancia 40%</t>
  </si>
  <si>
    <t>valor de venta</t>
  </si>
  <si>
    <t>ganancia por venta de maquinarias</t>
  </si>
  <si>
    <t>venta de maquinarias</t>
  </si>
  <si>
    <t>previsión deudores incobrables</t>
  </si>
  <si>
    <t>deudores incobrables ventas de marzo el 1/4</t>
  </si>
  <si>
    <t>deudores incobrables</t>
  </si>
  <si>
    <t>provedores anteriores</t>
  </si>
  <si>
    <t>proveedores de este ciclo</t>
  </si>
  <si>
    <t>compra mobiliario nuevo</t>
  </si>
  <si>
    <t>caja y bancos</t>
  </si>
  <si>
    <t>deudores ventas</t>
  </si>
  <si>
    <t>mercaderías</t>
  </si>
  <si>
    <t xml:space="preserve">maquinarias </t>
  </si>
  <si>
    <t>amort maq acum</t>
  </si>
  <si>
    <t>inmuebles</t>
  </si>
  <si>
    <t>amort inm acum</t>
  </si>
  <si>
    <t>previsión deud inc</t>
  </si>
  <si>
    <t>cuotas maq</t>
  </si>
  <si>
    <t>mercaderias anteriores</t>
  </si>
  <si>
    <t>usadas a principio ciclo</t>
  </si>
  <si>
    <t>remanente</t>
  </si>
  <si>
    <t>prov. Horas extras</t>
  </si>
  <si>
    <t>horas extras</t>
  </si>
  <si>
    <t>gastos fijos</t>
  </si>
  <si>
    <t>acreedores (prestamo)</t>
  </si>
  <si>
    <t>proveedores</t>
  </si>
  <si>
    <t>capital social</t>
  </si>
  <si>
    <t>resultado ejercicio</t>
  </si>
  <si>
    <t>mobiliario</t>
  </si>
  <si>
    <t>amort acum mob</t>
  </si>
  <si>
    <t>REMANENTE PROVEEDORES</t>
  </si>
  <si>
    <t>DEUDORES POR VENTAS CICLO ANTERIOR</t>
  </si>
  <si>
    <t>DEUDORES QUE PAGARON AL PPIO CICLO</t>
  </si>
  <si>
    <t>REMANENTE</t>
  </si>
  <si>
    <t>COMPRAR 102.000 DE MOBILIARIO EN CUANTO SE PUEDA SIN ENDEUDARSE</t>
  </si>
  <si>
    <t>provisión horas extras 3.000</t>
  </si>
  <si>
    <t>vendo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</si>
</sst>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FF0000"/>
      <name val="Calibri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Noto Sans Symbols"/>
    </font>
    <font>
      <b/>
      <sz val="10"/>
      <color theme="1"/>
      <name val="Arial"/>
      <family val="2"/>
    </font>
    <font>
      <i/>
      <sz val="9"/>
      <color theme="1"/>
      <name val="Verdana"/>
      <family val="2"/>
    </font>
    <font>
      <b/>
      <i/>
      <sz val="9"/>
      <color rgb="FF0000FF"/>
      <name val="Verdana"/>
      <family val="2"/>
    </font>
    <font>
      <sz val="8"/>
      <name val="Calibri"/>
      <family val="2"/>
      <scheme val="minor"/>
    </font>
    <font>
      <b/>
      <u/>
      <sz val="9"/>
      <color theme="1"/>
      <name val="Verdana"/>
      <family val="2"/>
    </font>
    <font>
      <b/>
      <sz val="9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2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9" fontId="8" fillId="0" borderId="7" xfId="0" applyNumberFormat="1" applyFont="1" applyBorder="1" applyAlignment="1">
      <alignment horizontal="center"/>
    </xf>
    <xf numFmtId="6" fontId="4" fillId="0" borderId="0" xfId="0" applyNumberFormat="1" applyFont="1"/>
    <xf numFmtId="6" fontId="0" fillId="0" borderId="0" xfId="0" applyNumberFormat="1"/>
    <xf numFmtId="6" fontId="6" fillId="8" borderId="27" xfId="0" applyNumberFormat="1" applyFont="1" applyFill="1" applyBorder="1" applyAlignment="1">
      <alignment horizontal="center"/>
    </xf>
    <xf numFmtId="6" fontId="4" fillId="0" borderId="10" xfId="0" applyNumberFormat="1" applyFont="1" applyBorder="1"/>
    <xf numFmtId="6" fontId="6" fillId="0" borderId="10" xfId="0" applyNumberFormat="1" applyFont="1" applyBorder="1"/>
    <xf numFmtId="6" fontId="4" fillId="0" borderId="7" xfId="0" applyNumberFormat="1" applyFont="1" applyBorder="1"/>
    <xf numFmtId="6" fontId="6" fillId="0" borderId="7" xfId="0" applyNumberFormat="1" applyFont="1" applyBorder="1"/>
    <xf numFmtId="6" fontId="16" fillId="8" borderId="31" xfId="0" applyNumberFormat="1" applyFont="1" applyFill="1" applyBorder="1" applyAlignment="1">
      <alignment vertical="center"/>
    </xf>
    <xf numFmtId="6" fontId="17" fillId="5" borderId="31" xfId="0" applyNumberFormat="1" applyFont="1" applyFill="1" applyBorder="1"/>
    <xf numFmtId="6" fontId="4" fillId="6" borderId="7" xfId="0" applyNumberFormat="1" applyFont="1" applyFill="1" applyBorder="1"/>
    <xf numFmtId="6" fontId="6" fillId="6" borderId="7" xfId="0" applyNumberFormat="1" applyFont="1" applyFill="1" applyBorder="1"/>
    <xf numFmtId="6" fontId="4" fillId="0" borderId="4" xfId="0" applyNumberFormat="1" applyFont="1" applyBorder="1"/>
    <xf numFmtId="6" fontId="6" fillId="0" borderId="4" xfId="0" applyNumberFormat="1" applyFont="1" applyBorder="1"/>
    <xf numFmtId="6" fontId="4" fillId="0" borderId="30" xfId="0" applyNumberFormat="1" applyFont="1" applyBorder="1"/>
    <xf numFmtId="6" fontId="6" fillId="0" borderId="30" xfId="0" applyNumberFormat="1" applyFont="1" applyBorder="1"/>
    <xf numFmtId="6" fontId="16" fillId="8" borderId="27" xfId="0" applyNumberFormat="1" applyFont="1" applyFill="1" applyBorder="1" applyAlignment="1">
      <alignment vertical="center"/>
    </xf>
    <xf numFmtId="6" fontId="6" fillId="8" borderId="27" xfId="0" applyNumberFormat="1" applyFont="1" applyFill="1" applyBorder="1" applyAlignment="1">
      <alignment vertical="center"/>
    </xf>
    <xf numFmtId="6" fontId="4" fillId="4" borderId="0" xfId="0" applyNumberFormat="1" applyFont="1" applyFill="1"/>
    <xf numFmtId="6" fontId="15" fillId="0" borderId="7" xfId="0" applyNumberFormat="1" applyFont="1" applyBorder="1" applyAlignment="1">
      <alignment horizontal="center"/>
    </xf>
    <xf numFmtId="6" fontId="6" fillId="0" borderId="7" xfId="0" applyNumberFormat="1" applyFont="1" applyBorder="1" applyAlignment="1">
      <alignment horizontal="center"/>
    </xf>
    <xf numFmtId="6" fontId="8" fillId="0" borderId="7" xfId="0" applyNumberFormat="1" applyFont="1" applyBorder="1" applyAlignment="1">
      <alignment horizontal="center"/>
    </xf>
    <xf numFmtId="6" fontId="14" fillId="0" borderId="7" xfId="0" applyNumberFormat="1" applyFont="1" applyBorder="1" applyAlignment="1">
      <alignment horizontal="center"/>
    </xf>
    <xf numFmtId="6" fontId="13" fillId="0" borderId="7" xfId="0" applyNumberFormat="1" applyFont="1" applyBorder="1" applyAlignment="1">
      <alignment horizontal="center"/>
    </xf>
    <xf numFmtId="6" fontId="8" fillId="0" borderId="0" xfId="0" applyNumberFormat="1" applyFont="1" applyAlignment="1">
      <alignment horizontal="center"/>
    </xf>
    <xf numFmtId="6" fontId="4" fillId="5" borderId="29" xfId="0" applyNumberFormat="1" applyFont="1" applyFill="1" applyBorder="1"/>
    <xf numFmtId="6" fontId="4" fillId="5" borderId="26" xfId="0" applyNumberFormat="1" applyFont="1" applyFill="1" applyBorder="1"/>
    <xf numFmtId="6" fontId="6" fillId="0" borderId="7" xfId="0" applyNumberFormat="1" applyFont="1" applyBorder="1" applyAlignment="1">
      <alignment horizontal="left"/>
    </xf>
    <xf numFmtId="6" fontId="6" fillId="0" borderId="7" xfId="0" applyNumberFormat="1" applyFont="1" applyBorder="1" applyAlignment="1">
      <alignment horizontal="right"/>
    </xf>
    <xf numFmtId="6" fontId="6" fillId="7" borderId="0" xfId="0" applyNumberFormat="1" applyFont="1" applyFill="1"/>
    <xf numFmtId="6" fontId="12" fillId="7" borderId="0" xfId="0" applyNumberFormat="1" applyFont="1" applyFill="1"/>
    <xf numFmtId="6" fontId="11" fillId="0" borderId="0" xfId="0" applyNumberFormat="1" applyFont="1"/>
    <xf numFmtId="6" fontId="6" fillId="0" borderId="0" xfId="0" applyNumberFormat="1" applyFont="1"/>
    <xf numFmtId="6" fontId="4" fillId="0" borderId="25" xfId="0" applyNumberFormat="1" applyFont="1" applyBorder="1"/>
    <xf numFmtId="6" fontId="9" fillId="0" borderId="24" xfId="0" applyNumberFormat="1" applyFont="1" applyBorder="1"/>
    <xf numFmtId="6" fontId="8" fillId="0" borderId="7" xfId="0" applyNumberFormat="1" applyFont="1" applyBorder="1"/>
    <xf numFmtId="6" fontId="10" fillId="0" borderId="7" xfId="0" applyNumberFormat="1" applyFont="1" applyBorder="1"/>
    <xf numFmtId="6" fontId="4" fillId="0" borderId="9" xfId="0" applyNumberFormat="1" applyFont="1" applyBorder="1" applyAlignment="1">
      <alignment wrapText="1"/>
    </xf>
    <xf numFmtId="6" fontId="6" fillId="0" borderId="8" xfId="0" applyNumberFormat="1" applyFont="1" applyBorder="1"/>
    <xf numFmtId="6" fontId="4" fillId="0" borderId="9" xfId="0" applyNumberFormat="1" applyFont="1" applyBorder="1"/>
    <xf numFmtId="6" fontId="4" fillId="0" borderId="8" xfId="0" applyNumberFormat="1" applyFont="1" applyBorder="1"/>
    <xf numFmtId="6" fontId="4" fillId="0" borderId="6" xfId="0" applyNumberFormat="1" applyFont="1" applyBorder="1"/>
    <xf numFmtId="6" fontId="4" fillId="0" borderId="5" xfId="0" applyNumberFormat="1" applyFont="1" applyBorder="1"/>
    <xf numFmtId="6" fontId="5" fillId="0" borderId="3" xfId="0" applyNumberFormat="1" applyFont="1" applyBorder="1" applyAlignment="1">
      <alignment wrapText="1"/>
    </xf>
    <xf numFmtId="6" fontId="5" fillId="0" borderId="2" xfId="0" applyNumberFormat="1" applyFont="1" applyBorder="1" applyAlignment="1">
      <alignment wrapText="1"/>
    </xf>
    <xf numFmtId="6" fontId="4" fillId="0" borderId="0" xfId="0" applyNumberFormat="1" applyFont="1" applyAlignment="1">
      <alignment wrapText="1"/>
    </xf>
    <xf numFmtId="6" fontId="5" fillId="0" borderId="1" xfId="0" applyNumberFormat="1" applyFont="1" applyBorder="1" applyAlignment="1">
      <alignment wrapText="1"/>
    </xf>
    <xf numFmtId="6" fontId="3" fillId="0" borderId="0" xfId="0" applyNumberFormat="1" applyFont="1"/>
    <xf numFmtId="9" fontId="0" fillId="0" borderId="0" xfId="0" applyNumberFormat="1"/>
    <xf numFmtId="9" fontId="3" fillId="0" borderId="0" xfId="0" applyNumberFormat="1" applyFont="1"/>
    <xf numFmtId="6" fontId="8" fillId="10" borderId="7" xfId="0" applyNumberFormat="1" applyFont="1" applyFill="1" applyBorder="1" applyAlignment="1">
      <alignment horizontal="center"/>
    </xf>
    <xf numFmtId="6" fontId="4" fillId="0" borderId="7" xfId="0" applyNumberFormat="1" applyFont="1" applyBorder="1" applyAlignment="1">
      <alignment horizontal="left"/>
    </xf>
    <xf numFmtId="6" fontId="19" fillId="0" borderId="7" xfId="0" applyNumberFormat="1" applyFont="1" applyBorder="1"/>
    <xf numFmtId="6" fontId="4" fillId="5" borderId="28" xfId="0" applyNumberFormat="1" applyFont="1" applyFill="1" applyBorder="1" applyAlignment="1">
      <alignment vertical="center"/>
    </xf>
    <xf numFmtId="6" fontId="4" fillId="0" borderId="35" xfId="0" applyNumberFormat="1" applyFont="1" applyBorder="1"/>
    <xf numFmtId="6" fontId="4" fillId="0" borderId="36" xfId="0" applyNumberFormat="1" applyFont="1" applyBorder="1"/>
    <xf numFmtId="6" fontId="6" fillId="0" borderId="37" xfId="0" applyNumberFormat="1" applyFont="1" applyBorder="1"/>
    <xf numFmtId="6" fontId="8" fillId="0" borderId="4" xfId="0" applyNumberFormat="1" applyFont="1" applyBorder="1"/>
    <xf numFmtId="6" fontId="4" fillId="0" borderId="38" xfId="0" applyNumberFormat="1" applyFont="1" applyBorder="1"/>
    <xf numFmtId="6" fontId="20" fillId="0" borderId="0" xfId="0" applyNumberFormat="1" applyFont="1"/>
    <xf numFmtId="6" fontId="0" fillId="0" borderId="39" xfId="0" applyNumberFormat="1" applyBorder="1"/>
    <xf numFmtId="6" fontId="4" fillId="0" borderId="7" xfId="0" applyNumberFormat="1" applyFont="1" applyBorder="1" applyAlignment="1">
      <alignment horizontal="right" vertical="center"/>
    </xf>
    <xf numFmtId="6" fontId="3" fillId="0" borderId="0" xfId="0" applyNumberFormat="1" applyFont="1" applyAlignment="1">
      <alignment horizontal="right"/>
    </xf>
    <xf numFmtId="6" fontId="6" fillId="8" borderId="34" xfId="0" applyNumberFormat="1" applyFont="1" applyFill="1" applyBorder="1" applyAlignment="1">
      <alignment horizontal="center"/>
    </xf>
    <xf numFmtId="6" fontId="2" fillId="0" borderId="0" xfId="0" applyNumberFormat="1" applyFont="1"/>
    <xf numFmtId="6" fontId="6" fillId="2" borderId="14" xfId="0" applyNumberFormat="1" applyFont="1" applyFill="1" applyBorder="1" applyAlignment="1">
      <alignment horizontal="center"/>
    </xf>
    <xf numFmtId="6" fontId="7" fillId="0" borderId="13" xfId="0" applyNumberFormat="1" applyFont="1" applyBorder="1"/>
    <xf numFmtId="6" fontId="4" fillId="2" borderId="12" xfId="0" applyNumberFormat="1" applyFont="1" applyFill="1" applyBorder="1" applyAlignment="1">
      <alignment horizontal="center"/>
    </xf>
    <xf numFmtId="6" fontId="7" fillId="0" borderId="11" xfId="0" applyNumberFormat="1" applyFont="1" applyBorder="1"/>
    <xf numFmtId="6" fontId="6" fillId="9" borderId="34" xfId="0" applyNumberFormat="1" applyFont="1" applyFill="1" applyBorder="1" applyAlignment="1">
      <alignment horizontal="center"/>
    </xf>
    <xf numFmtId="6" fontId="7" fillId="0" borderId="33" xfId="0" applyNumberFormat="1" applyFont="1" applyBorder="1"/>
    <xf numFmtId="6" fontId="7" fillId="0" borderId="32" xfId="0" applyNumberFormat="1" applyFont="1" applyBorder="1"/>
    <xf numFmtId="6" fontId="6" fillId="8" borderId="29" xfId="0" applyNumberFormat="1" applyFont="1" applyFill="1" applyBorder="1" applyAlignment="1">
      <alignment horizontal="center" vertical="center"/>
    </xf>
    <xf numFmtId="6" fontId="7" fillId="0" borderId="26" xfId="0" applyNumberFormat="1" applyFont="1" applyBorder="1"/>
    <xf numFmtId="6" fontId="6" fillId="8" borderId="34" xfId="0" applyNumberFormat="1" applyFont="1" applyFill="1" applyBorder="1" applyAlignment="1">
      <alignment horizontal="center"/>
    </xf>
    <xf numFmtId="6" fontId="12" fillId="0" borderId="0" xfId="0" applyNumberFormat="1" applyFont="1" applyAlignment="1">
      <alignment horizontal="center"/>
    </xf>
    <xf numFmtId="6" fontId="0" fillId="0" borderId="0" xfId="0" applyNumberFormat="1"/>
    <xf numFmtId="6" fontId="4" fillId="5" borderId="23" xfId="0" applyNumberFormat="1" applyFont="1" applyFill="1" applyBorder="1" applyAlignment="1">
      <alignment horizontal="center"/>
    </xf>
    <xf numFmtId="6" fontId="7" fillId="0" borderId="22" xfId="0" applyNumberFormat="1" applyFont="1" applyBorder="1"/>
    <xf numFmtId="6" fontId="7" fillId="0" borderId="21" xfId="0" applyNumberFormat="1" applyFont="1" applyBorder="1"/>
    <xf numFmtId="6" fontId="6" fillId="0" borderId="0" xfId="0" applyNumberFormat="1" applyFont="1" applyAlignment="1">
      <alignment horizontal="left"/>
    </xf>
    <xf numFmtId="6" fontId="6" fillId="5" borderId="23" xfId="0" applyNumberFormat="1" applyFont="1" applyFill="1" applyBorder="1" applyAlignment="1">
      <alignment horizontal="left"/>
    </xf>
    <xf numFmtId="6" fontId="6" fillId="3" borderId="16" xfId="0" applyNumberFormat="1" applyFont="1" applyFill="1" applyBorder="1" applyAlignment="1">
      <alignment horizontal="center" vertical="center"/>
    </xf>
    <xf numFmtId="6" fontId="7" fillId="0" borderId="20" xfId="0" applyNumberFormat="1" applyFont="1" applyBorder="1"/>
    <xf numFmtId="6" fontId="7" fillId="0" borderId="15" xfId="0" applyNumberFormat="1" applyFont="1" applyBorder="1"/>
    <xf numFmtId="6" fontId="7" fillId="0" borderId="19" xfId="0" applyNumberFormat="1" applyFont="1" applyBorder="1"/>
    <xf numFmtId="6" fontId="7" fillId="0" borderId="18" xfId="0" applyNumberFormat="1" applyFont="1" applyBorder="1"/>
    <xf numFmtId="6" fontId="7" fillId="0" borderId="17" xfId="0" applyNumberFormat="1" applyFont="1" applyBorder="1"/>
    <xf numFmtId="6" fontId="6" fillId="2" borderId="16" xfId="0" applyNumberFormat="1" applyFont="1" applyFill="1" applyBorder="1" applyAlignment="1">
      <alignment horizontal="center"/>
    </xf>
    <xf numFmtId="6" fontId="6" fillId="0" borderId="16" xfId="0" applyNumberFormat="1" applyFont="1" applyBorder="1" applyAlignment="1">
      <alignment horizontal="center"/>
    </xf>
    <xf numFmtId="6" fontId="1" fillId="0" borderId="0" xfId="0" applyNumberFormat="1" applyFont="1"/>
    <xf numFmtId="6" fontId="4" fillId="0" borderId="7" xfId="0" applyNumberFormat="1" applyFont="1" applyFill="1" applyBorder="1"/>
    <xf numFmtId="6" fontId="4" fillId="0" borderId="4" xfId="0" applyNumberFormat="1" applyFont="1" applyBorder="1" applyAlignment="1">
      <alignment horizontal="right" vertical="center"/>
    </xf>
    <xf numFmtId="6" fontId="0" fillId="0" borderId="40" xfId="0" applyNumberFormat="1" applyBorder="1"/>
    <xf numFmtId="6" fontId="6" fillId="0" borderId="41" xfId="0" applyNumberFormat="1" applyFont="1" applyBorder="1"/>
    <xf numFmtId="6" fontId="0" fillId="0" borderId="43" xfId="0" applyNumberFormat="1" applyBorder="1"/>
    <xf numFmtId="6" fontId="6" fillId="8" borderId="42" xfId="0" applyNumberFormat="1" applyFont="1" applyFill="1" applyBorder="1" applyAlignment="1">
      <alignment horizontal="center"/>
    </xf>
    <xf numFmtId="6" fontId="6" fillId="8" borderId="3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119743</xdr:rowOff>
    </xdr:to>
    <xdr:sp macro="" textlink="">
      <xdr:nvSpPr>
        <xdr:cNvPr id="2049" name="AutoShape 1" descr="Chicos hola! De casualidad alguno que tenia este tema y tiene que recuperar?">
          <a:extLst>
            <a:ext uri="{FF2B5EF4-FFF2-40B4-BE49-F238E27FC236}">
              <a16:creationId xmlns:a16="http://schemas.microsoft.com/office/drawing/2014/main" id="{6FA8A4C3-0546-C768-7D7C-8C055012BA9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119743</xdr:rowOff>
    </xdr:to>
    <xdr:sp macro="" textlink="">
      <xdr:nvSpPr>
        <xdr:cNvPr id="2050" name="AutoShape 2" descr="Chicos hola! De casualidad alguno que tenia este tema y tiene que recuperar?">
          <a:extLst>
            <a:ext uri="{FF2B5EF4-FFF2-40B4-BE49-F238E27FC236}">
              <a16:creationId xmlns:a16="http://schemas.microsoft.com/office/drawing/2014/main" id="{093259ED-1695-72A9-648B-1C1DAF1E8DC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212271</xdr:colOff>
      <xdr:row>0</xdr:row>
      <xdr:rowOff>0</xdr:rowOff>
    </xdr:from>
    <xdr:to>
      <xdr:col>13</xdr:col>
      <xdr:colOff>80385</xdr:colOff>
      <xdr:row>65</xdr:row>
      <xdr:rowOff>161762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CFDB7-B722-74BE-3695-BF6F9A1DC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271" y="0"/>
          <a:ext cx="10057143" cy="12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7FCD-7A41-4C0F-847C-CB49DEEF0F37}">
  <dimension ref="A1:N1001"/>
  <sheetViews>
    <sheetView tabSelected="1" zoomScale="71" zoomScaleNormal="71" workbookViewId="0">
      <selection activeCell="I48" sqref="I48"/>
    </sheetView>
  </sheetViews>
  <sheetFormatPr baseColWidth="10" defaultColWidth="14.4609375" defaultRowHeight="15" customHeight="1"/>
  <cols>
    <col min="1" max="1" width="71.23046875" style="3" bestFit="1" customWidth="1"/>
    <col min="2" max="7" width="18.765625" style="3" customWidth="1"/>
    <col min="8" max="8" width="16.4609375" style="3" customWidth="1"/>
    <col min="9" max="9" width="10.69140625" style="3" customWidth="1"/>
    <col min="10" max="10" width="10.23046875" style="3" customWidth="1"/>
    <col min="11" max="11" width="15.84375" style="3" customWidth="1"/>
    <col min="12" max="12" width="14.4609375" style="3"/>
    <col min="13" max="13" width="21.3046875" style="3" customWidth="1"/>
    <col min="14" max="16384" width="14.4609375" style="3"/>
  </cols>
  <sheetData>
    <row r="1" spans="1:14" thickBot="1">
      <c r="A1" s="70" t="s">
        <v>15</v>
      </c>
      <c r="B1" s="71"/>
      <c r="C1" s="71"/>
      <c r="D1" s="71"/>
      <c r="E1" s="71"/>
      <c r="F1" s="71"/>
      <c r="G1" s="71"/>
      <c r="H1" s="72"/>
      <c r="I1" s="2"/>
      <c r="J1" s="2"/>
    </row>
    <row r="2" spans="1:14" thickBot="1">
      <c r="A2" s="2"/>
      <c r="B2" s="2"/>
      <c r="C2" s="2"/>
      <c r="D2" s="2"/>
      <c r="E2" s="2"/>
      <c r="F2" s="2"/>
      <c r="G2" s="2"/>
      <c r="H2" s="2"/>
    </row>
    <row r="3" spans="1:14" thickBot="1">
      <c r="A3" s="73" t="s">
        <v>14</v>
      </c>
      <c r="B3" s="75" t="s">
        <v>28</v>
      </c>
      <c r="C3" s="84"/>
      <c r="D3" s="71"/>
      <c r="E3" s="84"/>
      <c r="F3" s="71"/>
      <c r="G3" s="85"/>
      <c r="H3" s="73" t="s">
        <v>24</v>
      </c>
      <c r="M3" s="48" t="s">
        <v>67</v>
      </c>
      <c r="N3" s="3">
        <v>30960</v>
      </c>
    </row>
    <row r="4" spans="1:14" thickBot="1">
      <c r="A4" s="74"/>
      <c r="B4" s="64" t="s">
        <v>18</v>
      </c>
      <c r="C4" s="97" t="s">
        <v>19</v>
      </c>
      <c r="D4" s="98" t="s">
        <v>20</v>
      </c>
      <c r="E4" s="97" t="s">
        <v>21</v>
      </c>
      <c r="F4" s="98" t="s">
        <v>22</v>
      </c>
      <c r="G4" s="97" t="s">
        <v>23</v>
      </c>
      <c r="H4" s="88"/>
      <c r="M4" s="48" t="s">
        <v>68</v>
      </c>
      <c r="N4" s="3">
        <f>+B61+C62</f>
        <v>-30959.999999999996</v>
      </c>
    </row>
    <row r="5" spans="1:14" ht="14.6">
      <c r="A5" s="5" t="s">
        <v>16</v>
      </c>
      <c r="B5" s="3">
        <f>+M41</f>
        <v>88000</v>
      </c>
      <c r="C5" s="96">
        <f>+M42</f>
        <v>96800</v>
      </c>
      <c r="D5" s="3">
        <f>+M43</f>
        <v>88000</v>
      </c>
      <c r="E5" s="96">
        <f>+M44</f>
        <v>83600</v>
      </c>
      <c r="F5" s="3">
        <f>+M45</f>
        <v>44000</v>
      </c>
      <c r="G5" s="96">
        <f>+M46</f>
        <v>52800</v>
      </c>
      <c r="H5" s="95">
        <f>SUM(B5:G5)</f>
        <v>453200</v>
      </c>
      <c r="J5" s="50">
        <f>1-J6</f>
        <v>0.44999999999999996</v>
      </c>
      <c r="M5" s="65" t="s">
        <v>91</v>
      </c>
      <c r="N5" s="3">
        <f>+N3+N4</f>
        <v>0</v>
      </c>
    </row>
    <row r="6" spans="1:14" thickBot="1">
      <c r="A6" s="7" t="s">
        <v>17</v>
      </c>
      <c r="B6" s="7">
        <f>-B5*$J$5</f>
        <v>-39599.999999999993</v>
      </c>
      <c r="C6" s="5">
        <f t="shared" ref="C6:G6" si="0">-C5*$J$5</f>
        <v>-43559.999999999993</v>
      </c>
      <c r="D6" s="7">
        <f t="shared" si="0"/>
        <v>-39599.999999999993</v>
      </c>
      <c r="E6" s="5">
        <f t="shared" si="0"/>
        <v>-37619.999999999993</v>
      </c>
      <c r="F6" s="7">
        <f t="shared" si="0"/>
        <v>-19799.999999999996</v>
      </c>
      <c r="G6" s="5">
        <f t="shared" si="0"/>
        <v>-23759.999999999996</v>
      </c>
      <c r="H6" s="8">
        <f>SUM(B6:G6)</f>
        <v>-203939.99999999997</v>
      </c>
      <c r="I6" s="48" t="s">
        <v>26</v>
      </c>
      <c r="J6" s="49">
        <v>0.55000000000000004</v>
      </c>
    </row>
    <row r="7" spans="1:14" thickBot="1">
      <c r="A7" s="9" t="s">
        <v>25</v>
      </c>
      <c r="B7" s="10">
        <f>+B6+B5</f>
        <v>48400.000000000007</v>
      </c>
      <c r="C7" s="10">
        <f t="shared" ref="C7:H7" si="1">+C6+C5</f>
        <v>53240.000000000007</v>
      </c>
      <c r="D7" s="10">
        <f t="shared" si="1"/>
        <v>48400.000000000007</v>
      </c>
      <c r="E7" s="10">
        <f t="shared" si="1"/>
        <v>45980.000000000007</v>
      </c>
      <c r="F7" s="10">
        <f t="shared" si="1"/>
        <v>24200.000000000004</v>
      </c>
      <c r="G7" s="10">
        <f t="shared" si="1"/>
        <v>29040.000000000004</v>
      </c>
      <c r="H7" s="10">
        <f t="shared" si="1"/>
        <v>249260.00000000003</v>
      </c>
    </row>
    <row r="8" spans="1:14" ht="14.6">
      <c r="A8" s="5" t="s">
        <v>42</v>
      </c>
      <c r="B8" s="7">
        <v>-800</v>
      </c>
      <c r="C8" s="7">
        <v>-800</v>
      </c>
      <c r="D8" s="7">
        <v>-800</v>
      </c>
      <c r="E8" s="7">
        <f>-800*1.3</f>
        <v>-1040</v>
      </c>
      <c r="F8" s="7">
        <f t="shared" ref="F8:G8" si="2">-800*1.3</f>
        <v>-1040</v>
      </c>
      <c r="G8" s="7">
        <f t="shared" si="2"/>
        <v>-1040</v>
      </c>
      <c r="H8" s="8">
        <f t="shared" ref="H8:H17" si="3">SUM(B8:G8)</f>
        <v>-5520</v>
      </c>
    </row>
    <row r="9" spans="1:14" ht="14.6">
      <c r="A9" s="7" t="s">
        <v>49</v>
      </c>
      <c r="B9" s="7"/>
      <c r="C9" s="7"/>
      <c r="D9" s="7"/>
      <c r="E9" s="7">
        <f>-15000*10%</f>
        <v>-1500</v>
      </c>
      <c r="F9" s="7"/>
      <c r="G9" s="7"/>
      <c r="H9" s="8">
        <f t="shared" si="3"/>
        <v>-1500</v>
      </c>
    </row>
    <row r="10" spans="1:14" ht="14.6">
      <c r="A10" s="11" t="s">
        <v>51</v>
      </c>
      <c r="B10" s="11">
        <f>-$L$10*80%/(10*12)</f>
        <v>-160</v>
      </c>
      <c r="C10" s="11">
        <f t="shared" ref="C10:G10" si="4">-$L$10*80%/(10*12)</f>
        <v>-160</v>
      </c>
      <c r="D10" s="11">
        <f t="shared" si="4"/>
        <v>-160</v>
      </c>
      <c r="E10" s="11">
        <f t="shared" si="4"/>
        <v>-160</v>
      </c>
      <c r="F10" s="11">
        <f t="shared" si="4"/>
        <v>-160</v>
      </c>
      <c r="G10" s="11">
        <f t="shared" si="4"/>
        <v>-160</v>
      </c>
      <c r="H10" s="12">
        <f t="shared" si="3"/>
        <v>-960</v>
      </c>
      <c r="K10" s="48" t="s">
        <v>55</v>
      </c>
      <c r="L10" s="3">
        <v>24000</v>
      </c>
      <c r="M10" s="91" t="s">
        <v>97</v>
      </c>
      <c r="N10" s="3">
        <f>+L10*20%</f>
        <v>4800</v>
      </c>
    </row>
    <row r="11" spans="1:14" ht="14.6">
      <c r="A11" s="7" t="s">
        <v>52</v>
      </c>
      <c r="B11" s="7">
        <f>-$N$10/(12*10)</f>
        <v>-40</v>
      </c>
      <c r="C11" s="7">
        <f>-$N$10/(12*10)</f>
        <v>-40</v>
      </c>
      <c r="D11" s="7"/>
      <c r="E11" s="2"/>
      <c r="F11" s="7"/>
      <c r="G11" s="7"/>
      <c r="H11" s="8">
        <f t="shared" si="3"/>
        <v>-80</v>
      </c>
      <c r="K11" s="48" t="s">
        <v>56</v>
      </c>
      <c r="L11" s="3">
        <v>-3000</v>
      </c>
      <c r="M11" s="48" t="s">
        <v>57</v>
      </c>
      <c r="N11" s="3">
        <f>+L11/L10*N10</f>
        <v>-600</v>
      </c>
    </row>
    <row r="12" spans="1:14" ht="14.6">
      <c r="A12" s="7" t="s">
        <v>53</v>
      </c>
      <c r="B12" s="62">
        <f>-120000/(50*12)</f>
        <v>-200</v>
      </c>
      <c r="C12" s="62">
        <f t="shared" ref="C12:G12" si="5">-120000/(50*12)</f>
        <v>-200</v>
      </c>
      <c r="D12" s="62">
        <f t="shared" si="5"/>
        <v>-200</v>
      </c>
      <c r="E12" s="93">
        <f t="shared" si="5"/>
        <v>-200</v>
      </c>
      <c r="F12" s="62">
        <f t="shared" si="5"/>
        <v>-200</v>
      </c>
      <c r="G12" s="62">
        <f t="shared" si="5"/>
        <v>-200</v>
      </c>
      <c r="H12" s="8">
        <f t="shared" si="3"/>
        <v>-1200</v>
      </c>
      <c r="M12" s="48" t="s">
        <v>58</v>
      </c>
      <c r="N12" s="61">
        <f>+H11</f>
        <v>-80</v>
      </c>
    </row>
    <row r="13" spans="1:14" ht="14.6">
      <c r="A13" s="7" t="s">
        <v>54</v>
      </c>
      <c r="B13" s="7"/>
      <c r="C13" s="7"/>
      <c r="D13" s="3">
        <f>-102000/(12*10)</f>
        <v>-850</v>
      </c>
      <c r="E13" s="94">
        <f t="shared" ref="E13:G13" si="6">-102000/(12*10)</f>
        <v>-850</v>
      </c>
      <c r="F13" s="3">
        <f t="shared" si="6"/>
        <v>-850</v>
      </c>
      <c r="G13" s="3">
        <f t="shared" si="6"/>
        <v>-850</v>
      </c>
      <c r="H13" s="8">
        <f t="shared" si="3"/>
        <v>-3400</v>
      </c>
      <c r="M13" s="48" t="s">
        <v>59</v>
      </c>
      <c r="N13" s="3">
        <f>SUM(N10:N12)</f>
        <v>4120</v>
      </c>
    </row>
    <row r="14" spans="1:14" ht="14.6">
      <c r="A14" s="7" t="s">
        <v>62</v>
      </c>
      <c r="B14" s="7"/>
      <c r="C14" s="7">
        <f>+N14</f>
        <v>1648</v>
      </c>
      <c r="D14" s="7"/>
      <c r="E14" s="5"/>
      <c r="F14" s="7"/>
      <c r="G14" s="7"/>
      <c r="H14" s="8">
        <f t="shared" si="3"/>
        <v>1648</v>
      </c>
      <c r="M14" s="48" t="s">
        <v>60</v>
      </c>
      <c r="N14" s="61">
        <f>+N13*40%</f>
        <v>1648</v>
      </c>
    </row>
    <row r="15" spans="1:14" ht="14.6">
      <c r="A15" s="7" t="s">
        <v>43</v>
      </c>
      <c r="B15" s="7">
        <v>0</v>
      </c>
      <c r="C15" s="7">
        <v>0</v>
      </c>
      <c r="D15" s="7">
        <v>0</v>
      </c>
      <c r="E15" s="7">
        <v>0</v>
      </c>
      <c r="F15" s="7">
        <v>-500</v>
      </c>
      <c r="G15" s="7">
        <v>-700</v>
      </c>
      <c r="H15" s="8">
        <f t="shared" si="3"/>
        <v>-1200</v>
      </c>
      <c r="I15" s="2" t="s">
        <v>96</v>
      </c>
      <c r="J15" s="2"/>
      <c r="M15" s="48" t="s">
        <v>61</v>
      </c>
      <c r="N15" s="3">
        <f>+N14+N13</f>
        <v>5768</v>
      </c>
    </row>
    <row r="16" spans="1:14" ht="14.6">
      <c r="A16" s="13" t="s">
        <v>66</v>
      </c>
      <c r="B16" s="13"/>
      <c r="C16" s="13"/>
      <c r="D16" s="13"/>
      <c r="E16" s="13">
        <f>-L18</f>
        <v>-18880</v>
      </c>
      <c r="F16" s="13"/>
      <c r="G16" s="13"/>
      <c r="H16" s="14">
        <f t="shared" si="3"/>
        <v>-18880</v>
      </c>
      <c r="I16" s="2"/>
      <c r="J16" s="2" t="s">
        <v>64</v>
      </c>
      <c r="L16" s="3">
        <v>-15000</v>
      </c>
    </row>
    <row r="17" spans="1:13" thickBot="1">
      <c r="A17" s="15"/>
      <c r="B17" s="15"/>
      <c r="C17" s="15"/>
      <c r="D17" s="15"/>
      <c r="E17" s="15"/>
      <c r="F17" s="15"/>
      <c r="G17" s="15"/>
      <c r="H17" s="16">
        <f t="shared" si="3"/>
        <v>0</v>
      </c>
      <c r="I17" s="2"/>
      <c r="J17" s="2" t="s">
        <v>65</v>
      </c>
      <c r="L17" s="3">
        <v>33880</v>
      </c>
    </row>
    <row r="18" spans="1:13" thickBot="1">
      <c r="A18" s="17" t="s">
        <v>24</v>
      </c>
      <c r="B18" s="18">
        <f>SUM(B7:B17)</f>
        <v>47200.000000000007</v>
      </c>
      <c r="C18" s="18">
        <f t="shared" ref="C18:H18" si="7">SUM(C7:C17)</f>
        <v>53688.000000000007</v>
      </c>
      <c r="D18" s="18">
        <f t="shared" si="7"/>
        <v>46390.000000000007</v>
      </c>
      <c r="E18" s="18">
        <f t="shared" si="7"/>
        <v>23350.000000000007</v>
      </c>
      <c r="F18" s="18">
        <f t="shared" si="7"/>
        <v>21450.000000000004</v>
      </c>
      <c r="G18" s="18">
        <f t="shared" si="7"/>
        <v>26090.000000000004</v>
      </c>
      <c r="H18" s="18">
        <f>SUM(H7:H17)</f>
        <v>218168.00000000003</v>
      </c>
      <c r="I18" s="2"/>
      <c r="J18" s="2"/>
      <c r="K18" s="63" t="s">
        <v>66</v>
      </c>
      <c r="L18" s="3">
        <f>+L17+L16</f>
        <v>18880</v>
      </c>
    </row>
    <row r="19" spans="1:13" ht="14.6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3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3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3" ht="15.75" customHeight="1">
      <c r="A22" s="19"/>
      <c r="B22" s="19"/>
      <c r="C22" s="19"/>
      <c r="D22" s="19"/>
      <c r="E22" s="19"/>
      <c r="F22" s="19"/>
      <c r="G22" s="19"/>
      <c r="H22" s="19"/>
      <c r="I22" s="2"/>
      <c r="J22" s="2"/>
    </row>
    <row r="23" spans="1:13" ht="15.75" customHeight="1">
      <c r="A23" s="2"/>
      <c r="B23" s="20" t="s">
        <v>13</v>
      </c>
      <c r="C23" s="20" t="s">
        <v>12</v>
      </c>
      <c r="D23" s="20" t="s">
        <v>11</v>
      </c>
      <c r="E23" s="20" t="s">
        <v>10</v>
      </c>
      <c r="F23" s="20" t="s">
        <v>9</v>
      </c>
      <c r="G23" s="21" t="s">
        <v>8</v>
      </c>
      <c r="H23" s="2"/>
      <c r="I23" s="2"/>
      <c r="J23" s="2"/>
    </row>
    <row r="24" spans="1:13" ht="15.75" customHeight="1">
      <c r="A24" s="2"/>
      <c r="B24" s="22" t="s">
        <v>27</v>
      </c>
      <c r="C24" s="22"/>
      <c r="D24" s="51"/>
      <c r="E24" s="1">
        <v>0.65</v>
      </c>
      <c r="F24" s="1">
        <v>0.35</v>
      </c>
      <c r="G24" s="7"/>
      <c r="H24" s="2"/>
      <c r="I24" s="2"/>
      <c r="J24" s="2"/>
    </row>
    <row r="25" spans="1:13" ht="15.75" customHeight="1">
      <c r="A25" s="2"/>
      <c r="B25" s="22" t="s">
        <v>37</v>
      </c>
      <c r="C25" s="1">
        <v>0.6</v>
      </c>
      <c r="D25" s="51"/>
      <c r="E25" s="1">
        <v>0.4</v>
      </c>
      <c r="F25" s="22"/>
      <c r="G25" s="7"/>
      <c r="H25" s="2"/>
      <c r="I25" s="2"/>
      <c r="J25" s="2"/>
      <c r="K25" s="48" t="s">
        <v>34</v>
      </c>
      <c r="L25" s="48" t="s">
        <v>35</v>
      </c>
      <c r="M25" s="48" t="s">
        <v>18</v>
      </c>
    </row>
    <row r="26" spans="1:13" ht="15.75" customHeight="1">
      <c r="A26" s="2"/>
      <c r="B26" s="22" t="s">
        <v>40</v>
      </c>
      <c r="C26" s="22" t="s">
        <v>11</v>
      </c>
      <c r="D26" s="51"/>
      <c r="E26" s="22"/>
      <c r="F26" s="22"/>
      <c r="G26" s="7"/>
      <c r="H26" s="2"/>
      <c r="I26" s="2"/>
      <c r="J26" s="2"/>
      <c r="K26" s="48" t="s">
        <v>35</v>
      </c>
      <c r="L26" s="48" t="s">
        <v>18</v>
      </c>
      <c r="M26" s="48" t="s">
        <v>19</v>
      </c>
    </row>
    <row r="27" spans="1:13" ht="15.75" customHeight="1">
      <c r="A27" s="2"/>
      <c r="B27" s="22"/>
      <c r="C27" s="23"/>
      <c r="D27" s="51"/>
      <c r="E27" s="22"/>
      <c r="F27" s="22"/>
      <c r="G27" s="7"/>
      <c r="H27" s="2"/>
      <c r="I27" s="2"/>
      <c r="J27" s="2"/>
      <c r="K27" s="48" t="s">
        <v>18</v>
      </c>
      <c r="L27" s="48" t="s">
        <v>19</v>
      </c>
      <c r="M27" s="48" t="s">
        <v>20</v>
      </c>
    </row>
    <row r="28" spans="1:13" ht="15.75" customHeight="1">
      <c r="A28" s="2"/>
      <c r="B28" s="24"/>
      <c r="C28" s="22"/>
      <c r="D28" s="51"/>
      <c r="E28" s="22"/>
      <c r="F28" s="22"/>
      <c r="G28" s="7"/>
      <c r="H28" s="2"/>
      <c r="I28" s="2"/>
      <c r="J28" s="2"/>
      <c r="K28" s="48" t="s">
        <v>19</v>
      </c>
      <c r="L28" s="48" t="s">
        <v>20</v>
      </c>
      <c r="M28" s="48" t="s">
        <v>21</v>
      </c>
    </row>
    <row r="29" spans="1:13" ht="15.75" customHeight="1">
      <c r="A29" s="2"/>
      <c r="B29" s="22"/>
      <c r="C29" s="22"/>
      <c r="D29" s="51"/>
      <c r="E29" s="22"/>
      <c r="F29" s="22"/>
      <c r="G29" s="7"/>
      <c r="H29" s="2"/>
      <c r="I29" s="2"/>
      <c r="J29" s="2"/>
      <c r="K29" s="48" t="s">
        <v>20</v>
      </c>
      <c r="L29" s="48" t="s">
        <v>21</v>
      </c>
      <c r="M29" s="48" t="s">
        <v>22</v>
      </c>
    </row>
    <row r="30" spans="1:13" ht="15.75" customHeight="1">
      <c r="A30" s="2"/>
      <c r="B30" s="25"/>
      <c r="C30" s="25"/>
      <c r="D30" s="25"/>
      <c r="E30" s="25"/>
      <c r="F30" s="25"/>
      <c r="G30" s="2"/>
      <c r="H30" s="2"/>
      <c r="I30" s="2"/>
      <c r="J30" s="2"/>
      <c r="K30" s="48" t="s">
        <v>21</v>
      </c>
      <c r="L30" s="48" t="s">
        <v>22</v>
      </c>
      <c r="M30" s="48" t="s">
        <v>23</v>
      </c>
    </row>
    <row r="31" spans="1:13" ht="15.75" customHeight="1">
      <c r="A31" s="2"/>
      <c r="B31" s="25"/>
      <c r="C31" s="25"/>
      <c r="D31" s="25"/>
      <c r="E31" s="25"/>
      <c r="F31" s="25"/>
      <c r="G31" s="2"/>
      <c r="H31" s="2"/>
      <c r="I31" s="2"/>
      <c r="J31" s="2"/>
      <c r="K31" s="48" t="s">
        <v>22</v>
      </c>
      <c r="L31" s="48" t="s">
        <v>23</v>
      </c>
      <c r="M31" s="48" t="s">
        <v>31</v>
      </c>
    </row>
    <row r="32" spans="1:13" ht="15.75" customHeight="1">
      <c r="A32" s="2"/>
      <c r="B32" s="76" t="s">
        <v>7</v>
      </c>
      <c r="C32" s="77"/>
      <c r="D32" s="25" t="s">
        <v>41</v>
      </c>
      <c r="E32" s="25"/>
      <c r="F32" s="25"/>
      <c r="G32" s="2"/>
      <c r="H32" s="2"/>
      <c r="I32" s="2"/>
      <c r="J32" s="2"/>
      <c r="K32" s="48" t="s">
        <v>23</v>
      </c>
      <c r="L32" s="48" t="s">
        <v>31</v>
      </c>
      <c r="M32" s="48" t="s">
        <v>32</v>
      </c>
    </row>
    <row r="33" spans="1:14" ht="15.75" customHeight="1" thickBot="1">
      <c r="A33" s="19"/>
      <c r="B33" s="19"/>
      <c r="C33" s="19"/>
      <c r="D33" s="19"/>
      <c r="E33" s="19"/>
      <c r="F33" s="19"/>
      <c r="G33" s="19"/>
      <c r="H33" s="19"/>
      <c r="I33" s="19"/>
      <c r="J33" s="2"/>
      <c r="K33" s="48" t="s">
        <v>31</v>
      </c>
      <c r="L33" s="48" t="s">
        <v>32</v>
      </c>
      <c r="M33" s="48" t="s">
        <v>33</v>
      </c>
    </row>
    <row r="34" spans="1:14" ht="15.75" customHeight="1" thickBot="1">
      <c r="A34" s="78" t="s">
        <v>29</v>
      </c>
      <c r="B34" s="79"/>
      <c r="C34" s="79"/>
      <c r="D34" s="79"/>
      <c r="E34" s="79"/>
      <c r="F34" s="79"/>
      <c r="G34" s="79"/>
      <c r="H34" s="80"/>
      <c r="I34" s="26"/>
      <c r="J34" s="2"/>
      <c r="K34" s="48" t="s">
        <v>32</v>
      </c>
      <c r="L34" s="48" t="s">
        <v>33</v>
      </c>
      <c r="M34" s="48" t="s">
        <v>36</v>
      </c>
    </row>
    <row r="35" spans="1:14" ht="15.75" customHeight="1" thickBot="1">
      <c r="A35" s="73" t="s">
        <v>14</v>
      </c>
      <c r="B35" s="75" t="s">
        <v>28</v>
      </c>
      <c r="C35" s="71"/>
      <c r="D35" s="71"/>
      <c r="E35" s="71"/>
      <c r="F35" s="71"/>
      <c r="G35" s="72"/>
      <c r="H35" s="73" t="s">
        <v>24</v>
      </c>
      <c r="I35" s="54" t="s">
        <v>38</v>
      </c>
      <c r="J35" s="2"/>
      <c r="K35" s="48"/>
    </row>
    <row r="36" spans="1:14" ht="15.75" customHeight="1" thickBot="1">
      <c r="A36" s="74"/>
      <c r="B36" s="4" t="s">
        <v>18</v>
      </c>
      <c r="C36" s="4" t="s">
        <v>19</v>
      </c>
      <c r="D36" s="4" t="s">
        <v>20</v>
      </c>
      <c r="E36" s="4" t="s">
        <v>21</v>
      </c>
      <c r="F36" s="4" t="s">
        <v>22</v>
      </c>
      <c r="G36" s="4" t="s">
        <v>23</v>
      </c>
      <c r="H36" s="74"/>
      <c r="I36" s="27"/>
      <c r="J36" s="2"/>
    </row>
    <row r="37" spans="1:14" ht="15.75" customHeight="1">
      <c r="A37" s="81"/>
      <c r="B37" s="77"/>
      <c r="C37" s="77"/>
      <c r="D37" s="77"/>
      <c r="E37" s="77"/>
      <c r="F37" s="77"/>
      <c r="G37" s="77"/>
      <c r="H37" s="77"/>
      <c r="I37" s="77"/>
      <c r="J37" s="2"/>
    </row>
    <row r="38" spans="1:14" ht="15.75" customHeight="1">
      <c r="A38" s="52" t="s">
        <v>30</v>
      </c>
      <c r="B38" s="29">
        <v>60620</v>
      </c>
      <c r="C38" s="28"/>
      <c r="D38" s="28"/>
      <c r="E38" s="28"/>
      <c r="F38" s="28"/>
      <c r="G38" s="28"/>
      <c r="H38" s="8">
        <f>SUM(B38:G38)</f>
        <v>60620</v>
      </c>
      <c r="I38" s="28"/>
      <c r="J38" s="30"/>
      <c r="K38" s="31"/>
      <c r="M38" s="48" t="s">
        <v>27</v>
      </c>
      <c r="N38" s="48" t="s">
        <v>37</v>
      </c>
    </row>
    <row r="39" spans="1:14" ht="15.75" customHeight="1">
      <c r="A39" s="53" t="s">
        <v>27</v>
      </c>
      <c r="B39" s="8"/>
      <c r="C39" s="7"/>
      <c r="D39" s="7"/>
      <c r="E39" s="7"/>
      <c r="F39" s="7"/>
      <c r="G39" s="7"/>
      <c r="H39" s="8">
        <f t="shared" ref="H39:H52" si="8">SUM(B39:G39)</f>
        <v>0</v>
      </c>
      <c r="I39" s="8"/>
      <c r="J39" s="2"/>
      <c r="L39" s="48" t="s">
        <v>34</v>
      </c>
      <c r="M39" s="3">
        <v>79200</v>
      </c>
      <c r="N39" s="3">
        <f>+M39*$J$5</f>
        <v>35640</v>
      </c>
    </row>
    <row r="40" spans="1:14" ht="15.75" customHeight="1">
      <c r="A40" s="7" t="str">
        <f>+"ventas de "&amp;K25&amp;" cobradas 65% en "&amp;L25&amp;" y el 35% en "&amp;M25</f>
        <v>ventas de noviembre cobradas 65% en diciembre y el 35% en enero</v>
      </c>
      <c r="B40" s="8">
        <f>+$M39*35%</f>
        <v>27720</v>
      </c>
      <c r="C40" s="8"/>
      <c r="D40" s="8"/>
      <c r="E40" s="8"/>
      <c r="F40" s="8"/>
      <c r="G40" s="8"/>
      <c r="H40" s="8">
        <f t="shared" si="8"/>
        <v>27720</v>
      </c>
      <c r="I40" s="8"/>
      <c r="J40" s="2"/>
      <c r="L40" s="48" t="s">
        <v>35</v>
      </c>
      <c r="M40" s="3">
        <v>84000</v>
      </c>
      <c r="N40" s="3">
        <f t="shared" ref="N40:N50" si="9">+M40*$J$5</f>
        <v>37799.999999999993</v>
      </c>
    </row>
    <row r="41" spans="1:14" ht="15.75" customHeight="1">
      <c r="A41" s="7" t="str">
        <f>+"ventas de "&amp;K26&amp;" cobradas 65% en "&amp;L26&amp;" y el 35% en "&amp;M26</f>
        <v>ventas de diciembre cobradas 65% en enero y el 35% en febrero</v>
      </c>
      <c r="B41" s="8">
        <f>+$M40*65%</f>
        <v>54600</v>
      </c>
      <c r="C41" s="8">
        <f>+$M40*35%</f>
        <v>29399.999999999996</v>
      </c>
      <c r="D41" s="8"/>
      <c r="E41" s="8"/>
      <c r="F41" s="8"/>
      <c r="G41" s="8"/>
      <c r="H41" s="8">
        <f t="shared" si="8"/>
        <v>84000</v>
      </c>
      <c r="I41" s="8"/>
      <c r="J41" s="32"/>
      <c r="L41" s="48" t="s">
        <v>18</v>
      </c>
      <c r="M41" s="3">
        <v>88000</v>
      </c>
      <c r="N41" s="3">
        <f t="shared" si="9"/>
        <v>39599.999999999993</v>
      </c>
    </row>
    <row r="42" spans="1:14" ht="15.75" customHeight="1">
      <c r="A42" s="7" t="str">
        <f>+"ventas de "&amp;K27&amp;" cobradas 65% en "&amp;L27&amp;" y el 35% en "&amp;M27</f>
        <v>ventas de enero cobradas 65% en febrero y el 35% en marzo</v>
      </c>
      <c r="B42" s="8"/>
      <c r="C42" s="8">
        <f>+$M41*65%</f>
        <v>57200</v>
      </c>
      <c r="D42" s="8">
        <f>+$M41*35%</f>
        <v>30799.999999999996</v>
      </c>
      <c r="E42" s="8"/>
      <c r="F42" s="8"/>
      <c r="G42" s="8"/>
      <c r="H42" s="8">
        <f t="shared" si="8"/>
        <v>88000</v>
      </c>
      <c r="I42" s="8"/>
      <c r="J42" s="32"/>
      <c r="L42" s="48" t="s">
        <v>19</v>
      </c>
      <c r="M42" s="3">
        <v>96800</v>
      </c>
      <c r="N42" s="3">
        <f t="shared" si="9"/>
        <v>43559.999999999993</v>
      </c>
    </row>
    <row r="43" spans="1:14" ht="15.75" customHeight="1">
      <c r="A43" s="7" t="str">
        <f>+"ventas de "&amp;K28&amp;" cobradas 65% en "&amp;L28&amp;" y el 35% en "&amp;M28</f>
        <v>ventas de febrero cobradas 65% en marzo y el 35% en abril</v>
      </c>
      <c r="B43" s="8"/>
      <c r="C43" s="8"/>
      <c r="D43" s="8">
        <f>+$M42*65%</f>
        <v>62920</v>
      </c>
      <c r="E43" s="8"/>
      <c r="F43" s="12"/>
      <c r="G43" s="8"/>
      <c r="H43" s="8">
        <f t="shared" si="8"/>
        <v>62920</v>
      </c>
      <c r="I43" s="8"/>
      <c r="J43" s="2"/>
      <c r="L43" s="48" t="s">
        <v>20</v>
      </c>
      <c r="M43" s="3">
        <v>88000</v>
      </c>
      <c r="N43" s="3">
        <f t="shared" si="9"/>
        <v>39599.999999999993</v>
      </c>
    </row>
    <row r="44" spans="1:14" ht="15.75" customHeight="1">
      <c r="A44" s="7" t="str">
        <f>+"ventas de "&amp;K29&amp;" cobradas 65% en "&amp;L29&amp;" y el 35% en "&amp;M29</f>
        <v>ventas de marzo cobradas 65% en abril y el 35% en mayo</v>
      </c>
      <c r="B44" s="8"/>
      <c r="C44" s="8"/>
      <c r="D44" s="8"/>
      <c r="E44" s="8">
        <f>+$M43*65%</f>
        <v>57200</v>
      </c>
      <c r="F44" s="8">
        <f>+$M43*35%</f>
        <v>30799.999999999996</v>
      </c>
      <c r="G44" s="8"/>
      <c r="H44" s="8">
        <f t="shared" si="8"/>
        <v>88000</v>
      </c>
      <c r="I44" s="8"/>
      <c r="J44" s="2"/>
      <c r="L44" s="48" t="s">
        <v>21</v>
      </c>
      <c r="M44" s="3">
        <v>83600</v>
      </c>
      <c r="N44" s="3">
        <f t="shared" si="9"/>
        <v>37619.999999999993</v>
      </c>
    </row>
    <row r="45" spans="1:14" ht="15.75" customHeight="1">
      <c r="A45" s="7" t="str">
        <f>+"ventas de "&amp;K30&amp;" cobradas 65% en "&amp;L30&amp;" y el 35% en "&amp;M30</f>
        <v>ventas de abril cobradas 65% en mayo y el 35% en junio</v>
      </c>
      <c r="B45" s="8"/>
      <c r="C45" s="8"/>
      <c r="D45" s="8"/>
      <c r="E45" s="8"/>
      <c r="F45" s="8">
        <f>+$M44*65%</f>
        <v>54340</v>
      </c>
      <c r="G45" s="8">
        <f>+$M44*35%</f>
        <v>29259.999999999996</v>
      </c>
      <c r="H45" s="8">
        <f t="shared" si="8"/>
        <v>83600</v>
      </c>
      <c r="I45" s="8"/>
      <c r="J45" s="33"/>
      <c r="L45" s="48" t="s">
        <v>22</v>
      </c>
      <c r="M45" s="3">
        <v>44000</v>
      </c>
      <c r="N45" s="3">
        <f t="shared" si="9"/>
        <v>19799.999999999996</v>
      </c>
    </row>
    <row r="46" spans="1:14" ht="15.75" customHeight="1">
      <c r="A46" s="7" t="str">
        <f>+"ventas de "&amp;K31&amp;" cobradas 65% en "&amp;L31&amp;" y el 35% en "&amp;M31</f>
        <v>ventas de mayo cobradas 65% en junio y el 35% en julio</v>
      </c>
      <c r="B46" s="8"/>
      <c r="C46" s="8"/>
      <c r="D46" s="8"/>
      <c r="E46" s="8"/>
      <c r="F46" s="8"/>
      <c r="G46" s="8">
        <f>+$M45*65%</f>
        <v>28600</v>
      </c>
      <c r="H46" s="8">
        <f t="shared" si="8"/>
        <v>28600</v>
      </c>
      <c r="I46" s="8">
        <f>+$M45*35%</f>
        <v>15399.999999999998</v>
      </c>
      <c r="J46" s="2"/>
      <c r="L46" s="48" t="s">
        <v>23</v>
      </c>
      <c r="M46" s="3">
        <v>52800</v>
      </c>
      <c r="N46" s="3">
        <f t="shared" si="9"/>
        <v>23759.999999999996</v>
      </c>
    </row>
    <row r="47" spans="1:14" ht="15.75" customHeight="1">
      <c r="A47" s="7" t="str">
        <f>+"ventas de "&amp;K32&amp;" cobradas 65% en "&amp;L32&amp;" y el 35% en "&amp;M32</f>
        <v>ventas de junio cobradas 65% en julio y el 35% en agosto</v>
      </c>
      <c r="B47" s="8"/>
      <c r="C47" s="8"/>
      <c r="D47" s="8"/>
      <c r="E47" s="8"/>
      <c r="F47" s="8"/>
      <c r="G47" s="8"/>
      <c r="H47" s="8">
        <f t="shared" si="8"/>
        <v>0</v>
      </c>
      <c r="I47" s="8">
        <f>+M46</f>
        <v>52800</v>
      </c>
      <c r="J47" s="2"/>
      <c r="L47" s="48" t="s">
        <v>31</v>
      </c>
      <c r="M47" s="3">
        <v>61600</v>
      </c>
      <c r="N47" s="3">
        <f t="shared" si="9"/>
        <v>27719.999999999996</v>
      </c>
    </row>
    <row r="48" spans="1:14" ht="15.75" customHeight="1">
      <c r="A48" s="7" t="s">
        <v>48</v>
      </c>
      <c r="B48" s="8"/>
      <c r="C48" s="8"/>
      <c r="D48" s="8"/>
      <c r="E48" s="8">
        <v>15000</v>
      </c>
      <c r="F48" s="8"/>
      <c r="G48" s="8"/>
      <c r="H48" s="8">
        <f t="shared" si="8"/>
        <v>15000</v>
      </c>
      <c r="I48" s="8"/>
      <c r="J48" s="2"/>
      <c r="L48" s="48" t="s">
        <v>32</v>
      </c>
      <c r="M48" s="3">
        <v>66000</v>
      </c>
      <c r="N48" s="3">
        <f t="shared" si="9"/>
        <v>29699.999999999996</v>
      </c>
    </row>
    <row r="49" spans="1:14" ht="15.75" customHeight="1">
      <c r="A49" s="7" t="s">
        <v>63</v>
      </c>
      <c r="B49" s="8"/>
      <c r="C49" s="8"/>
      <c r="D49" s="8">
        <f>+$N$15/5</f>
        <v>1153.5999999999999</v>
      </c>
      <c r="E49" s="8">
        <f t="shared" ref="E49:G49" si="10">+$N$15/5</f>
        <v>1153.5999999999999</v>
      </c>
      <c r="F49" s="8">
        <f t="shared" si="10"/>
        <v>1153.5999999999999</v>
      </c>
      <c r="G49" s="8">
        <f t="shared" si="10"/>
        <v>1153.5999999999999</v>
      </c>
      <c r="H49" s="8">
        <f t="shared" si="8"/>
        <v>4614.3999999999996</v>
      </c>
      <c r="I49" s="8">
        <f>+G49</f>
        <v>1153.5999999999999</v>
      </c>
      <c r="J49" s="2"/>
      <c r="L49" s="48" t="s">
        <v>33</v>
      </c>
      <c r="M49" s="3">
        <v>70400</v>
      </c>
      <c r="N49" s="3">
        <f t="shared" si="9"/>
        <v>31679.999999999996</v>
      </c>
    </row>
    <row r="50" spans="1:14" ht="15.75" customHeight="1">
      <c r="A50" s="7"/>
      <c r="B50" s="8"/>
      <c r="C50" s="8"/>
      <c r="D50" s="8"/>
      <c r="E50" s="8"/>
      <c r="F50" s="8"/>
      <c r="G50" s="8"/>
      <c r="H50" s="8">
        <f t="shared" si="8"/>
        <v>0</v>
      </c>
      <c r="I50" s="8"/>
      <c r="J50" s="2"/>
      <c r="L50" s="48" t="s">
        <v>36</v>
      </c>
      <c r="M50" s="3">
        <v>74800</v>
      </c>
      <c r="N50" s="3">
        <f t="shared" si="9"/>
        <v>33660</v>
      </c>
    </row>
    <row r="51" spans="1:14" ht="15.75" customHeight="1">
      <c r="A51" s="7"/>
      <c r="B51" s="7"/>
      <c r="C51" s="8"/>
      <c r="D51" s="8"/>
      <c r="E51" s="8"/>
      <c r="F51" s="8"/>
      <c r="G51" s="7"/>
      <c r="H51" s="8">
        <f t="shared" si="8"/>
        <v>0</v>
      </c>
      <c r="I51" s="8"/>
      <c r="J51" s="2"/>
    </row>
    <row r="52" spans="1:14" ht="15.75" customHeight="1" thickBot="1">
      <c r="A52" s="13"/>
      <c r="B52" s="13"/>
      <c r="C52" s="13"/>
      <c r="D52" s="13"/>
      <c r="E52" s="13"/>
      <c r="F52" s="13"/>
      <c r="G52" s="13"/>
      <c r="H52" s="8">
        <f>SUM(B52:G52)</f>
        <v>0</v>
      </c>
      <c r="I52" s="8"/>
      <c r="J52" s="2"/>
    </row>
    <row r="53" spans="1:14" ht="15.75" customHeight="1" thickBot="1">
      <c r="A53" s="34" t="s">
        <v>39</v>
      </c>
      <c r="B53" s="35">
        <f t="shared" ref="B53:G53" si="11">SUM(B38:B52)</f>
        <v>142940</v>
      </c>
      <c r="C53" s="35">
        <f t="shared" si="11"/>
        <v>86600</v>
      </c>
      <c r="D53" s="35">
        <f t="shared" si="11"/>
        <v>94873.600000000006</v>
      </c>
      <c r="E53" s="35">
        <f t="shared" si="11"/>
        <v>73353.600000000006</v>
      </c>
      <c r="F53" s="35">
        <f t="shared" si="11"/>
        <v>86293.6</v>
      </c>
      <c r="G53" s="35">
        <f t="shared" si="11"/>
        <v>59013.599999999999</v>
      </c>
      <c r="H53" s="35">
        <f>SUM(H38:H52)</f>
        <v>543074.4</v>
      </c>
      <c r="I53" s="2"/>
      <c r="J53" s="2"/>
    </row>
    <row r="54" spans="1:14" ht="15.75" customHeight="1">
      <c r="A54" s="82"/>
      <c r="B54" s="79"/>
      <c r="C54" s="79"/>
      <c r="D54" s="79"/>
      <c r="E54" s="79"/>
      <c r="F54" s="79"/>
      <c r="G54" s="79"/>
      <c r="H54" s="79"/>
      <c r="I54" s="80"/>
      <c r="J54" s="2"/>
    </row>
    <row r="55" spans="1:14" ht="15.75" customHeight="1">
      <c r="A55" s="7" t="s">
        <v>42</v>
      </c>
      <c r="B55" s="8">
        <v>-800</v>
      </c>
      <c r="C55" s="7">
        <f>+B8</f>
        <v>-800</v>
      </c>
      <c r="D55" s="7">
        <f t="shared" ref="D55:G55" si="12">+C8</f>
        <v>-800</v>
      </c>
      <c r="E55" s="7">
        <f t="shared" si="12"/>
        <v>-800</v>
      </c>
      <c r="F55" s="7">
        <f t="shared" si="12"/>
        <v>-1040</v>
      </c>
      <c r="G55" s="7">
        <f t="shared" si="12"/>
        <v>-1040</v>
      </c>
      <c r="H55" s="8">
        <f t="shared" ref="H55:H72" si="13">SUM(B55:G55)</f>
        <v>-5280</v>
      </c>
      <c r="I55" s="7">
        <f>-G8</f>
        <v>1040</v>
      </c>
      <c r="J55" s="2"/>
    </row>
    <row r="56" spans="1:14" ht="15.75" customHeight="1">
      <c r="A56" s="7" t="s">
        <v>43</v>
      </c>
      <c r="B56" s="92"/>
      <c r="C56" s="8">
        <v>-700</v>
      </c>
      <c r="D56" s="8">
        <v>-700</v>
      </c>
      <c r="E56" s="8">
        <v>-700</v>
      </c>
      <c r="F56" s="8">
        <v>-700</v>
      </c>
      <c r="G56" s="8">
        <v>-700</v>
      </c>
      <c r="H56" s="8">
        <f t="shared" si="13"/>
        <v>-3500</v>
      </c>
      <c r="I56" s="7">
        <f>-G56</f>
        <v>700</v>
      </c>
      <c r="J56" s="2"/>
    </row>
    <row r="57" spans="1:14" ht="15.75" customHeight="1">
      <c r="A57" s="7" t="s">
        <v>47</v>
      </c>
      <c r="B57" s="8"/>
      <c r="C57" s="7"/>
      <c r="D57" s="8"/>
      <c r="E57" s="7">
        <f>-E48</f>
        <v>-15000</v>
      </c>
      <c r="F57" s="7"/>
      <c r="G57" s="7"/>
      <c r="H57" s="8">
        <f t="shared" si="13"/>
        <v>-15000</v>
      </c>
      <c r="I57" s="7"/>
      <c r="J57" s="2"/>
    </row>
    <row r="58" spans="1:14" ht="15.75" customHeight="1">
      <c r="A58" s="7" t="s">
        <v>50</v>
      </c>
      <c r="B58" s="7"/>
      <c r="C58" s="8"/>
      <c r="D58" s="7"/>
      <c r="E58" s="8"/>
      <c r="F58" s="8">
        <f>-15000*1.1/4</f>
        <v>-4125</v>
      </c>
      <c r="G58" s="8">
        <f>-15000*1.1/4</f>
        <v>-4125</v>
      </c>
      <c r="H58" s="8">
        <f t="shared" si="13"/>
        <v>-8250</v>
      </c>
      <c r="I58" s="7">
        <f>-G58*2</f>
        <v>8250</v>
      </c>
      <c r="J58" s="2"/>
    </row>
    <row r="59" spans="1:14" ht="15.75" customHeight="1">
      <c r="A59" s="7"/>
      <c r="B59" s="7"/>
      <c r="C59" s="8"/>
      <c r="D59" s="7"/>
      <c r="E59" s="8"/>
      <c r="F59" s="8"/>
      <c r="G59" s="8"/>
      <c r="H59" s="8"/>
      <c r="I59" s="7"/>
      <c r="J59" s="2"/>
    </row>
    <row r="60" spans="1:14" ht="15.75" customHeight="1">
      <c r="A60" s="53" t="s">
        <v>37</v>
      </c>
      <c r="B60" s="7"/>
      <c r="C60" s="7"/>
      <c r="D60" s="8"/>
      <c r="E60" s="7"/>
      <c r="F60" s="8"/>
      <c r="G60" s="7"/>
      <c r="H60" s="8">
        <f t="shared" si="13"/>
        <v>0</v>
      </c>
      <c r="I60" s="7"/>
      <c r="J60" s="2"/>
    </row>
    <row r="61" spans="1:14" ht="15.75" customHeight="1">
      <c r="A61" s="7" t="str">
        <f t="shared" ref="A61:A68" si="14">+"compra en "&amp;K25&amp;" para "&amp;L25&amp;" pagando 60% en "&amp;K25&amp;" y 40% en "&amp;M25</f>
        <v>compra en noviembre para diciembre pagando 60% en noviembre y 40% en enero</v>
      </c>
      <c r="B61" s="7">
        <f>-N40*40%</f>
        <v>-15119.999999999998</v>
      </c>
      <c r="C61" s="7"/>
      <c r="D61" s="7"/>
      <c r="E61" s="8"/>
      <c r="F61" s="7"/>
      <c r="G61" s="8"/>
      <c r="H61" s="8">
        <f t="shared" si="13"/>
        <v>-15119.999999999998</v>
      </c>
      <c r="I61" s="7"/>
      <c r="J61" s="2"/>
    </row>
    <row r="62" spans="1:14" ht="15.75" customHeight="1">
      <c r="A62" s="7" t="str">
        <f t="shared" si="14"/>
        <v>compra en diciembre para enero pagando 60% en diciembre y 40% en febrero</v>
      </c>
      <c r="B62" s="7"/>
      <c r="C62" s="7">
        <f>-$N41*40%</f>
        <v>-15839.999999999998</v>
      </c>
      <c r="D62" s="7"/>
      <c r="E62" s="7"/>
      <c r="F62" s="8"/>
      <c r="G62" s="7"/>
      <c r="H62" s="8">
        <f t="shared" si="13"/>
        <v>-15839.999999999998</v>
      </c>
      <c r="I62" s="8"/>
      <c r="J62" s="2"/>
    </row>
    <row r="63" spans="1:14" ht="15.75" customHeight="1">
      <c r="A63" s="7" t="str">
        <f t="shared" si="14"/>
        <v>compra en enero para febrero pagando 60% en enero y 40% en marzo</v>
      </c>
      <c r="B63" s="7">
        <f>-$N42*60%</f>
        <v>-26135.999999999996</v>
      </c>
      <c r="C63" s="7"/>
      <c r="D63" s="7">
        <f>-$N42*40%</f>
        <v>-17423.999999999996</v>
      </c>
      <c r="E63" s="7"/>
      <c r="F63" s="7"/>
      <c r="G63" s="8"/>
      <c r="H63" s="8">
        <f t="shared" si="13"/>
        <v>-43559.999999999993</v>
      </c>
      <c r="I63" s="8"/>
      <c r="J63" s="2"/>
    </row>
    <row r="64" spans="1:14" ht="15.75" customHeight="1">
      <c r="A64" s="7" t="str">
        <f t="shared" si="14"/>
        <v>compra en febrero para marzo pagando 60% en febrero y 40% en abril</v>
      </c>
      <c r="B64" s="7"/>
      <c r="C64" s="7">
        <f>-$N43*60%</f>
        <v>-23759.999999999996</v>
      </c>
      <c r="D64" s="7"/>
      <c r="E64" s="7">
        <f>-$N43*40%</f>
        <v>-15839.999999999998</v>
      </c>
      <c r="F64" s="7"/>
      <c r="G64" s="7"/>
      <c r="H64" s="8">
        <f t="shared" si="13"/>
        <v>-39599.999999999993</v>
      </c>
      <c r="I64" s="8"/>
      <c r="J64" s="2"/>
    </row>
    <row r="65" spans="1:10" ht="15.75" customHeight="1">
      <c r="A65" s="7" t="str">
        <f t="shared" si="14"/>
        <v>compra en marzo para abril pagando 60% en marzo y 40% en mayo</v>
      </c>
      <c r="B65" s="7"/>
      <c r="C65" s="7"/>
      <c r="D65" s="7">
        <f>-$N44*60%</f>
        <v>-22571.999999999996</v>
      </c>
      <c r="E65" s="7"/>
      <c r="F65" s="7">
        <f>-$N44*40%</f>
        <v>-15047.999999999998</v>
      </c>
      <c r="G65" s="7"/>
      <c r="H65" s="8">
        <f t="shared" si="13"/>
        <v>-37619.999999999993</v>
      </c>
      <c r="I65" s="7"/>
      <c r="J65" s="2"/>
    </row>
    <row r="66" spans="1:10" ht="15.75" customHeight="1">
      <c r="A66" s="7" t="str">
        <f t="shared" si="14"/>
        <v>compra en abril para mayo pagando 60% en abril y 40% en junio</v>
      </c>
      <c r="B66" s="7"/>
      <c r="C66" s="7"/>
      <c r="D66" s="7"/>
      <c r="E66" s="7">
        <f>-$N45*60%</f>
        <v>-11879.999999999998</v>
      </c>
      <c r="F66" s="7"/>
      <c r="G66" s="7">
        <f>-$N45*40%</f>
        <v>-7919.9999999999991</v>
      </c>
      <c r="H66" s="8">
        <f t="shared" si="13"/>
        <v>-19799.999999999996</v>
      </c>
      <c r="I66" s="7"/>
      <c r="J66" s="2"/>
    </row>
    <row r="67" spans="1:10" ht="15.75" customHeight="1">
      <c r="A67" s="7" t="str">
        <f t="shared" si="14"/>
        <v>compra en mayo para junio pagando 60% en mayo y 40% en julio</v>
      </c>
      <c r="B67" s="7"/>
      <c r="C67" s="7"/>
      <c r="D67" s="7"/>
      <c r="E67" s="7"/>
      <c r="F67" s="7">
        <f>-$N46*60%</f>
        <v>-14255.999999999998</v>
      </c>
      <c r="G67" s="7"/>
      <c r="H67" s="8">
        <f t="shared" si="13"/>
        <v>-14255.999999999998</v>
      </c>
      <c r="I67" s="7">
        <f>$N46*40%</f>
        <v>9503.9999999999982</v>
      </c>
      <c r="J67" s="2"/>
    </row>
    <row r="68" spans="1:10" ht="15.75" customHeight="1">
      <c r="A68" s="7" t="str">
        <f t="shared" si="14"/>
        <v>compra en junio para julio pagando 60% en junio y 40% en agosto</v>
      </c>
      <c r="B68" s="36"/>
      <c r="C68" s="36"/>
      <c r="D68" s="36"/>
      <c r="E68" s="36"/>
      <c r="F68" s="37"/>
      <c r="G68" s="7">
        <f>-$N47*60%</f>
        <v>-16631.999999999996</v>
      </c>
      <c r="H68" s="8">
        <f t="shared" si="13"/>
        <v>-16631.999999999996</v>
      </c>
      <c r="I68" s="7">
        <f>$N47*40%</f>
        <v>11088</v>
      </c>
      <c r="J68" s="2"/>
    </row>
    <row r="69" spans="1:10" ht="15.75" customHeight="1">
      <c r="A69" s="7" t="s">
        <v>69</v>
      </c>
      <c r="B69" s="7"/>
      <c r="C69" s="7"/>
      <c r="D69" s="92">
        <v>-102000</v>
      </c>
      <c r="E69" s="7"/>
      <c r="F69" s="7"/>
      <c r="G69" s="7"/>
      <c r="H69" s="8">
        <f t="shared" si="13"/>
        <v>-102000</v>
      </c>
      <c r="I69" s="7"/>
      <c r="J69" s="2"/>
    </row>
    <row r="70" spans="1:10" ht="15.75" customHeight="1" thickBot="1">
      <c r="A70" s="13"/>
      <c r="B70" s="58"/>
      <c r="C70" s="58"/>
      <c r="D70" s="58"/>
      <c r="E70" s="58"/>
      <c r="F70" s="58"/>
      <c r="G70" s="58"/>
      <c r="H70" s="14">
        <f t="shared" si="13"/>
        <v>0</v>
      </c>
      <c r="I70" s="7"/>
      <c r="J70" s="2"/>
    </row>
    <row r="71" spans="1:10" ht="15.75" customHeight="1" thickBot="1">
      <c r="A71" s="55" t="s">
        <v>44</v>
      </c>
      <c r="B71" s="56">
        <f t="shared" ref="B71:G71" si="15">SUM(B55:B70)</f>
        <v>-42055.999999999993</v>
      </c>
      <c r="C71" s="56">
        <f t="shared" si="15"/>
        <v>-41100</v>
      </c>
      <c r="D71" s="56">
        <f t="shared" si="15"/>
        <v>-143496</v>
      </c>
      <c r="E71" s="56">
        <f t="shared" si="15"/>
        <v>-44220</v>
      </c>
      <c r="F71" s="56">
        <f t="shared" si="15"/>
        <v>-35169</v>
      </c>
      <c r="G71" s="56">
        <f t="shared" si="15"/>
        <v>-30416.999999999996</v>
      </c>
      <c r="H71" s="8">
        <f>SUM(H55:H70)</f>
        <v>-336458</v>
      </c>
      <c r="I71" s="2"/>
      <c r="J71" s="2"/>
    </row>
    <row r="72" spans="1:10" ht="15.75" customHeight="1" thickBot="1">
      <c r="A72" s="59" t="s">
        <v>45</v>
      </c>
      <c r="B72" s="59">
        <f>+B71+B53</f>
        <v>100884</v>
      </c>
      <c r="C72" s="59">
        <f t="shared" ref="C72:G72" si="16">+C71+C53</f>
        <v>45500</v>
      </c>
      <c r="D72" s="59">
        <f t="shared" si="16"/>
        <v>-48622.399999999994</v>
      </c>
      <c r="E72" s="59">
        <f t="shared" si="16"/>
        <v>29133.600000000006</v>
      </c>
      <c r="F72" s="59">
        <f t="shared" si="16"/>
        <v>51124.600000000006</v>
      </c>
      <c r="G72" s="59">
        <f t="shared" si="16"/>
        <v>28596.600000000002</v>
      </c>
      <c r="H72" s="8">
        <f t="shared" si="13"/>
        <v>206616.40000000002</v>
      </c>
      <c r="I72" s="2"/>
      <c r="J72" s="2"/>
    </row>
    <row r="73" spans="1:10" ht="15.75" customHeight="1" thickBot="1">
      <c r="A73" s="55" t="s">
        <v>46</v>
      </c>
      <c r="B73" s="56">
        <f>+B72</f>
        <v>100884</v>
      </c>
      <c r="C73" s="56">
        <f>+B73+C72</f>
        <v>146384</v>
      </c>
      <c r="D73" s="56">
        <f>+C73+D72</f>
        <v>97761.600000000006</v>
      </c>
      <c r="E73" s="56">
        <f>+D73+E72</f>
        <v>126895.20000000001</v>
      </c>
      <c r="F73" s="56">
        <f>+E73+F72</f>
        <v>178019.80000000002</v>
      </c>
      <c r="G73" s="56">
        <f>+F73+G72</f>
        <v>206616.40000000002</v>
      </c>
      <c r="H73" s="57"/>
      <c r="I73" s="2"/>
      <c r="J73" s="2"/>
    </row>
    <row r="74" spans="1:10" ht="15.75" customHeight="1">
      <c r="A74" s="60" t="s">
        <v>95</v>
      </c>
      <c r="B74" s="2"/>
      <c r="C74" s="2"/>
      <c r="D74" s="2"/>
      <c r="E74" s="2"/>
      <c r="F74" s="2"/>
      <c r="G74" s="2"/>
      <c r="H74" s="2"/>
      <c r="I74" s="2"/>
      <c r="J74" s="2"/>
    </row>
    <row r="75" spans="1:10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5.7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customHeight="1">
      <c r="A77" s="2"/>
      <c r="B77" s="83" t="s">
        <v>6</v>
      </c>
      <c r="C77" s="84"/>
      <c r="D77" s="84"/>
      <c r="E77" s="84"/>
      <c r="F77" s="85"/>
      <c r="G77" s="2"/>
      <c r="H77" s="2"/>
      <c r="I77" s="2"/>
      <c r="J77" s="2"/>
    </row>
    <row r="78" spans="1:10" ht="15.75" customHeight="1" thickBot="1">
      <c r="A78" s="2"/>
      <c r="B78" s="86"/>
      <c r="C78" s="87"/>
      <c r="D78" s="87"/>
      <c r="E78" s="87"/>
      <c r="F78" s="88"/>
      <c r="G78" s="2"/>
      <c r="H78" s="2"/>
      <c r="I78" s="2"/>
      <c r="J78" s="2"/>
    </row>
    <row r="79" spans="1:10" ht="15.75" customHeight="1">
      <c r="A79" s="2"/>
      <c r="B79" s="89" t="s">
        <v>5</v>
      </c>
      <c r="C79" s="85"/>
      <c r="D79" s="2"/>
      <c r="E79" s="90" t="s">
        <v>4</v>
      </c>
      <c r="F79" s="85"/>
      <c r="G79" s="2"/>
      <c r="H79" s="2" t="s">
        <v>79</v>
      </c>
      <c r="I79" s="2"/>
      <c r="J79" s="2">
        <v>39600</v>
      </c>
    </row>
    <row r="80" spans="1:10" ht="15.75" customHeight="1">
      <c r="A80" s="2"/>
      <c r="B80" s="38" t="s">
        <v>70</v>
      </c>
      <c r="C80" s="39">
        <f>+H72</f>
        <v>206616.40000000002</v>
      </c>
      <c r="D80" s="2"/>
      <c r="E80" s="66" t="s">
        <v>3</v>
      </c>
      <c r="F80" s="67"/>
      <c r="G80" s="2"/>
      <c r="H80" s="2" t="s">
        <v>80</v>
      </c>
      <c r="I80" s="2"/>
      <c r="J80" s="2">
        <f>+B6</f>
        <v>-39599.999999999993</v>
      </c>
    </row>
    <row r="81" spans="1:11" ht="15.75" customHeight="1">
      <c r="A81" s="2"/>
      <c r="B81" s="38" t="s">
        <v>71</v>
      </c>
      <c r="C81" s="39">
        <f>+I46+I47+K87</f>
        <v>97800</v>
      </c>
      <c r="D81" s="2"/>
      <c r="E81" s="7" t="s">
        <v>82</v>
      </c>
      <c r="F81" s="8">
        <v>0</v>
      </c>
      <c r="G81" s="2"/>
      <c r="H81" s="2" t="s">
        <v>81</v>
      </c>
      <c r="I81" s="2"/>
      <c r="J81" s="2">
        <f>+J80+J79</f>
        <v>0</v>
      </c>
    </row>
    <row r="82" spans="1:11" ht="15.75" customHeight="1">
      <c r="A82" s="2"/>
      <c r="B82" s="38" t="s">
        <v>72</v>
      </c>
      <c r="C82" s="39">
        <f>+N47</f>
        <v>27719.999999999996</v>
      </c>
      <c r="D82" s="2"/>
      <c r="E82" s="7" t="s">
        <v>83</v>
      </c>
      <c r="F82" s="8">
        <f>+I56</f>
        <v>700</v>
      </c>
      <c r="G82" s="2"/>
      <c r="H82" s="2"/>
      <c r="I82" s="2"/>
      <c r="J82" s="2"/>
    </row>
    <row r="83" spans="1:11" ht="15.75" customHeight="1">
      <c r="A83" s="2"/>
      <c r="B83" s="38" t="s">
        <v>73</v>
      </c>
      <c r="C83" s="39">
        <f>+L10-N10</f>
        <v>19200</v>
      </c>
      <c r="D83" s="2"/>
      <c r="E83" s="7" t="s">
        <v>84</v>
      </c>
      <c r="F83" s="8">
        <f>+I55</f>
        <v>1040</v>
      </c>
      <c r="G83" s="2"/>
      <c r="H83" s="2"/>
      <c r="I83" s="2"/>
      <c r="J83" s="2"/>
    </row>
    <row r="84" spans="1:11" ht="15.75" customHeight="1">
      <c r="A84" s="2"/>
      <c r="B84" s="38" t="s">
        <v>74</v>
      </c>
      <c r="C84" s="39">
        <f>+H10+L11-N11</f>
        <v>-3360</v>
      </c>
      <c r="D84" s="2"/>
      <c r="E84" s="7" t="s">
        <v>85</v>
      </c>
      <c r="F84" s="8">
        <f>+I58</f>
        <v>8250</v>
      </c>
      <c r="G84" s="2"/>
      <c r="H84" s="2"/>
      <c r="I84" s="2"/>
      <c r="J84" s="2"/>
    </row>
    <row r="85" spans="1:11" ht="15.75" customHeight="1">
      <c r="A85" s="2"/>
      <c r="B85" s="38" t="s">
        <v>75</v>
      </c>
      <c r="C85" s="39">
        <v>120000</v>
      </c>
      <c r="D85" s="2"/>
      <c r="E85" s="7" t="s">
        <v>86</v>
      </c>
      <c r="F85" s="8">
        <f>+I67+I68</f>
        <v>20592</v>
      </c>
      <c r="G85" s="2"/>
      <c r="H85" s="2" t="s">
        <v>92</v>
      </c>
      <c r="I85" s="2"/>
      <c r="J85" s="2"/>
      <c r="K85" s="3">
        <v>141320</v>
      </c>
    </row>
    <row r="86" spans="1:11" ht="15.75" customHeight="1">
      <c r="A86" s="2"/>
      <c r="B86" s="38" t="s">
        <v>76</v>
      </c>
      <c r="C86" s="39">
        <f>+H12-10000</f>
        <v>-11200</v>
      </c>
      <c r="D86" s="2"/>
      <c r="E86" s="7"/>
      <c r="F86" s="8"/>
      <c r="G86" s="2"/>
      <c r="H86" s="2" t="s">
        <v>93</v>
      </c>
      <c r="I86" s="2"/>
      <c r="J86" s="2"/>
      <c r="K86" s="3">
        <f>+B40+B41+C41</f>
        <v>111720</v>
      </c>
    </row>
    <row r="87" spans="1:11" ht="15.75" customHeight="1">
      <c r="A87" s="2"/>
      <c r="B87" s="38" t="s">
        <v>77</v>
      </c>
      <c r="C87" s="39">
        <v>0</v>
      </c>
      <c r="D87" s="2"/>
      <c r="E87" s="7"/>
      <c r="F87" s="8"/>
      <c r="G87" s="2"/>
      <c r="H87" s="2" t="s">
        <v>94</v>
      </c>
      <c r="I87" s="2"/>
      <c r="J87" s="2"/>
      <c r="K87" s="3">
        <f>+K85-K86</f>
        <v>29600</v>
      </c>
    </row>
    <row r="88" spans="1:11" ht="15.75" customHeight="1">
      <c r="A88" s="2"/>
      <c r="B88" s="38" t="s">
        <v>78</v>
      </c>
      <c r="C88" s="39">
        <f>+I49</f>
        <v>1153.5999999999999</v>
      </c>
      <c r="D88" s="2"/>
      <c r="E88" s="36"/>
      <c r="F88" s="36"/>
      <c r="G88" s="2"/>
      <c r="H88" s="2"/>
      <c r="I88" s="2"/>
      <c r="J88" s="2"/>
    </row>
    <row r="89" spans="1:11" ht="15.75" customHeight="1">
      <c r="A89" s="2"/>
      <c r="B89" s="38" t="s">
        <v>89</v>
      </c>
      <c r="C89" s="39">
        <v>102000</v>
      </c>
      <c r="D89" s="2"/>
      <c r="E89" s="36"/>
      <c r="F89" s="36"/>
      <c r="G89" s="2"/>
      <c r="H89" s="2"/>
      <c r="I89" s="2"/>
      <c r="J89" s="2"/>
    </row>
    <row r="90" spans="1:11" ht="15.75" customHeight="1">
      <c r="A90" s="2"/>
      <c r="B90" s="38" t="s">
        <v>90</v>
      </c>
      <c r="C90" s="39">
        <f>+H13</f>
        <v>-3400</v>
      </c>
      <c r="D90" s="2"/>
      <c r="E90" s="68" t="s">
        <v>2</v>
      </c>
      <c r="F90" s="69"/>
      <c r="G90" s="2"/>
      <c r="H90" s="2"/>
      <c r="I90" s="2"/>
      <c r="J90" s="2"/>
    </row>
    <row r="91" spans="1:11" ht="15.75" customHeight="1">
      <c r="A91" s="2"/>
      <c r="B91" s="38"/>
      <c r="C91" s="39"/>
      <c r="D91" s="2"/>
      <c r="E91" s="5" t="s">
        <v>87</v>
      </c>
      <c r="F91" s="6">
        <v>307780</v>
      </c>
      <c r="G91" s="2"/>
      <c r="H91" s="2"/>
      <c r="I91" s="2"/>
      <c r="J91" s="2"/>
    </row>
    <row r="92" spans="1:11" ht="15.75" customHeight="1">
      <c r="A92" s="2"/>
      <c r="B92" s="40"/>
      <c r="C92" s="41"/>
      <c r="D92" s="2"/>
      <c r="E92" s="7" t="s">
        <v>88</v>
      </c>
      <c r="F92" s="8">
        <f>+H18</f>
        <v>218168.00000000003</v>
      </c>
      <c r="G92" s="2"/>
      <c r="H92" s="2"/>
      <c r="I92" s="2"/>
      <c r="J92" s="2"/>
    </row>
    <row r="93" spans="1:11" ht="15.75" customHeight="1" thickBot="1">
      <c r="A93" s="2"/>
      <c r="B93" s="42"/>
      <c r="C93" s="43"/>
      <c r="D93" s="2"/>
      <c r="E93" s="13"/>
      <c r="F93" s="13"/>
      <c r="G93" s="2"/>
      <c r="H93" s="2"/>
      <c r="I93" s="2"/>
      <c r="J93" s="2"/>
    </row>
    <row r="94" spans="1:11" ht="15.75" customHeight="1" thickBot="1">
      <c r="A94" s="2"/>
      <c r="B94" s="44" t="s">
        <v>1</v>
      </c>
      <c r="C94" s="45">
        <f>SUM(C80:C93)</f>
        <v>556530</v>
      </c>
      <c r="D94" s="46"/>
      <c r="E94" s="47" t="s">
        <v>0</v>
      </c>
      <c r="F94" s="45">
        <f>SUM(F80:F93)</f>
        <v>556530</v>
      </c>
      <c r="G94" s="2"/>
      <c r="H94" s="2"/>
      <c r="I94" s="2"/>
      <c r="J94" s="2"/>
    </row>
    <row r="95" spans="1:1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1" ht="15.75" customHeight="1">
      <c r="A96" s="2"/>
      <c r="G96" s="2"/>
      <c r="H96" s="2"/>
      <c r="I96" s="2"/>
      <c r="J96" s="2"/>
    </row>
    <row r="97" spans="1:10" ht="15.75" customHeight="1">
      <c r="A97" s="2"/>
      <c r="F97" s="3">
        <f>+F94-C94</f>
        <v>0</v>
      </c>
      <c r="G97" s="2"/>
      <c r="H97" s="2"/>
      <c r="I97" s="2"/>
      <c r="J97" s="2"/>
    </row>
    <row r="98" spans="1:10" ht="15.75" customHeight="1">
      <c r="A98" s="2"/>
      <c r="G98" s="2"/>
      <c r="H98" s="2"/>
      <c r="I98" s="2"/>
      <c r="J98" s="2"/>
    </row>
    <row r="99" spans="1:10" ht="15.75" customHeight="1">
      <c r="A99" s="2"/>
      <c r="G99" s="2"/>
      <c r="H99" s="2"/>
      <c r="I99" s="2"/>
      <c r="J99" s="2"/>
    </row>
    <row r="100" spans="1:10" ht="15.75" customHeight="1">
      <c r="A100" s="2"/>
      <c r="G100" s="2"/>
      <c r="H100" s="2"/>
      <c r="I100" s="2"/>
      <c r="J100" s="2"/>
    </row>
    <row r="101" spans="1:10" ht="15.75" customHeight="1">
      <c r="A101" s="2"/>
      <c r="G101" s="2"/>
      <c r="H101" s="2"/>
      <c r="I101" s="2"/>
      <c r="J101" s="2"/>
    </row>
    <row r="102" spans="1:10" ht="15.75" customHeight="1">
      <c r="A102" s="2"/>
      <c r="G102" s="2"/>
      <c r="H102" s="2"/>
      <c r="I102" s="2"/>
      <c r="J102" s="2"/>
    </row>
    <row r="103" spans="1:10" ht="15.75" customHeight="1">
      <c r="A103" s="2"/>
      <c r="G103" s="2"/>
      <c r="H103" s="2"/>
      <c r="I103" s="2"/>
      <c r="J103" s="2"/>
    </row>
    <row r="104" spans="1:10" ht="15.75" customHeight="1">
      <c r="A104" s="2"/>
      <c r="G104" s="2"/>
      <c r="H104" s="2"/>
      <c r="I104" s="2"/>
      <c r="J104" s="2"/>
    </row>
    <row r="105" spans="1:10" ht="15.75" customHeight="1">
      <c r="A105" s="2"/>
      <c r="G105" s="2"/>
      <c r="H105" s="2"/>
      <c r="I105" s="2"/>
      <c r="J105" s="2"/>
    </row>
    <row r="106" spans="1:10" ht="15.75" customHeight="1">
      <c r="A106" s="2"/>
      <c r="G106" s="2"/>
      <c r="H106" s="2"/>
      <c r="I106" s="2"/>
      <c r="J106" s="2"/>
    </row>
    <row r="107" spans="1:10" ht="15.75" customHeight="1">
      <c r="A107" s="2"/>
      <c r="G107" s="2"/>
      <c r="H107" s="2"/>
      <c r="I107" s="2"/>
      <c r="J107" s="2"/>
    </row>
    <row r="108" spans="1:10" ht="15.75" customHeight="1">
      <c r="A108" s="2"/>
      <c r="G108" s="2"/>
      <c r="H108" s="2"/>
      <c r="I108" s="2"/>
      <c r="J108" s="2"/>
    </row>
    <row r="109" spans="1:10" ht="15.75" customHeight="1">
      <c r="A109" s="2"/>
      <c r="G109" s="2"/>
      <c r="H109" s="2"/>
      <c r="I109" s="2"/>
      <c r="J109" s="2"/>
    </row>
    <row r="110" spans="1:10" ht="15.75" customHeight="1">
      <c r="A110" s="2"/>
      <c r="G110" s="2"/>
      <c r="H110" s="2"/>
      <c r="I110" s="2"/>
      <c r="J110" s="2"/>
    </row>
    <row r="111" spans="1:10" ht="15.75" customHeight="1">
      <c r="A111" s="2"/>
      <c r="G111" s="2"/>
      <c r="H111" s="2"/>
      <c r="I111" s="2"/>
      <c r="J111" s="2"/>
    </row>
    <row r="112" spans="1:10" ht="15.75" customHeight="1">
      <c r="A112" s="2"/>
      <c r="G112" s="2"/>
      <c r="H112" s="2"/>
      <c r="I112" s="2"/>
      <c r="J112" s="2"/>
    </row>
    <row r="113" spans="1:10" ht="15.75" customHeight="1">
      <c r="A113" s="2"/>
      <c r="G113" s="2"/>
      <c r="H113" s="2"/>
      <c r="I113" s="2"/>
      <c r="J113" s="2"/>
    </row>
    <row r="114" spans="1:10" ht="15.75" customHeight="1">
      <c r="A114" s="2"/>
      <c r="G114" s="2"/>
      <c r="H114" s="2"/>
      <c r="I114" s="2"/>
      <c r="J114" s="2"/>
    </row>
    <row r="115" spans="1:10" ht="15.75" customHeight="1">
      <c r="A115" s="2"/>
      <c r="G115" s="2"/>
      <c r="H115" s="2"/>
      <c r="I115" s="2"/>
      <c r="J115" s="2"/>
    </row>
    <row r="116" spans="1:10" ht="15.75" customHeight="1">
      <c r="A116" s="2"/>
      <c r="G116" s="2"/>
      <c r="H116" s="2"/>
      <c r="I116" s="2"/>
      <c r="J116" s="2"/>
    </row>
    <row r="117" spans="1:10" ht="15.75" customHeight="1">
      <c r="A117" s="2"/>
      <c r="G117" s="2"/>
      <c r="H117" s="2"/>
      <c r="I117" s="2"/>
      <c r="J117" s="2"/>
    </row>
    <row r="118" spans="1:10" ht="15.75" customHeight="1">
      <c r="A118" s="2"/>
      <c r="G118" s="2"/>
      <c r="H118" s="2"/>
      <c r="I118" s="2"/>
      <c r="J118" s="2"/>
    </row>
    <row r="119" spans="1:10" ht="15.75" customHeight="1">
      <c r="A119" s="2"/>
      <c r="G119" s="2"/>
      <c r="H119" s="2"/>
      <c r="I119" s="2"/>
      <c r="J119" s="2"/>
    </row>
    <row r="120" spans="1:10" ht="15.75" customHeight="1">
      <c r="A120" s="2"/>
      <c r="G120" s="2"/>
    </row>
    <row r="121" spans="1:10" ht="15.75" customHeight="1">
      <c r="A121" s="2"/>
      <c r="G121" s="2"/>
    </row>
    <row r="122" spans="1:10" ht="15.75" customHeight="1">
      <c r="A122" s="2"/>
      <c r="G122" s="2"/>
    </row>
    <row r="123" spans="1:10" ht="15.75" customHeight="1">
      <c r="A123" s="2"/>
      <c r="G123" s="2"/>
    </row>
    <row r="124" spans="1:10" ht="15.75" customHeight="1"/>
    <row r="125" spans="1:10" ht="15.75" customHeight="1"/>
    <row r="126" spans="1:10" ht="15.75" customHeight="1"/>
    <row r="127" spans="1:10" ht="15.75" customHeight="1"/>
    <row r="128" spans="1:10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E80:F80"/>
    <mergeCell ref="E90:F90"/>
    <mergeCell ref="A1:H1"/>
    <mergeCell ref="A3:A4"/>
    <mergeCell ref="B3:G3"/>
    <mergeCell ref="H3:H4"/>
    <mergeCell ref="B32:C32"/>
    <mergeCell ref="A34:H34"/>
    <mergeCell ref="B35:G35"/>
    <mergeCell ref="A37:I37"/>
    <mergeCell ref="A54:I54"/>
    <mergeCell ref="B77:F78"/>
    <mergeCell ref="B79:C79"/>
    <mergeCell ref="E79:F79"/>
    <mergeCell ref="A35:A36"/>
    <mergeCell ref="H35:H36"/>
  </mergeCells>
  <phoneticPr fontId="18" type="noConversion"/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8A8E-D552-4138-A9C7-C618135F3AA4}">
  <dimension ref="A1"/>
  <sheetViews>
    <sheetView topLeftCell="A27" workbookViewId="0">
      <selection activeCell="N23" sqref="N23"/>
    </sheetView>
  </sheetViews>
  <sheetFormatPr baseColWidth="10" defaultRowHeight="14.6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Reso. general </vt:lpstr>
      <vt:lpstr>enunciado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Sylvina Enriquez</dc:creator>
  <cp:lastModifiedBy>Sylvina Enriquez</cp:lastModifiedBy>
  <dcterms:created xsi:type="dcterms:W3CDTF">2025-07-11T22:54:45Z</dcterms:created>
  <dcterms:modified xsi:type="dcterms:W3CDTF">2025-07-15T04:13:10Z</dcterms:modified>
</cp:coreProperties>
</file>